
<file path=[Content_Types].xml><?xml version="1.0" encoding="utf-8"?>
<Types xmlns="http://schemas.openxmlformats.org/package/2006/content-types">
  <Default Extension="xml" ContentType="application/xml"/>
  <Default Extension="bin" ContentType="application/vnd.openxmlformats-officedocument.oleObject"/>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06"/>
  <workbookPr date1904="1" showInkAnnotation="0" autoCompressPictures="0"/>
  <bookViews>
    <workbookView xWindow="6940" yWindow="340" windowWidth="20200" windowHeight="17200" tabRatio="736" activeTab="4"/>
  </bookViews>
  <sheets>
    <sheet name="Exam 1" sheetId="17" r:id="rId1"/>
    <sheet name="Exam 2" sheetId="8" r:id="rId2"/>
    <sheet name="Exam 3" sheetId="18" r:id="rId3"/>
    <sheet name="Exam 4" sheetId="10" r:id="rId4"/>
    <sheet name="Exam 5" sheetId="7" r:id="rId5"/>
    <sheet name="Final Exam" sheetId="14" r:id="rId6"/>
    <sheet name="Sheet1" sheetId="15" r:id="rId7"/>
  </sheets>
  <calcPr calcId="140001"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C36" i="7" l="1"/>
  <c r="C35" i="7"/>
  <c r="C78" i="7"/>
  <c r="C76" i="7"/>
  <c r="C77" i="7"/>
  <c r="C74" i="7"/>
  <c r="C75" i="7"/>
  <c r="C93" i="7"/>
  <c r="C70" i="7"/>
  <c r="D70" i="7"/>
  <c r="E70" i="7"/>
  <c r="F70" i="7"/>
  <c r="G70" i="7"/>
  <c r="G71" i="7"/>
  <c r="D83" i="7"/>
  <c r="C83" i="7"/>
  <c r="C86" i="7"/>
  <c r="D86" i="7"/>
  <c r="D87" i="7"/>
  <c r="C96" i="7"/>
  <c r="D84" i="7"/>
  <c r="C73" i="7"/>
  <c r="G59" i="7"/>
  <c r="F59" i="7"/>
  <c r="E59" i="7"/>
  <c r="D59" i="7"/>
  <c r="C59" i="7"/>
  <c r="H13" i="7"/>
  <c r="H14" i="7"/>
  <c r="E11" i="7"/>
  <c r="E14" i="7"/>
  <c r="E15" i="7"/>
  <c r="E10" i="7"/>
  <c r="E12" i="7"/>
  <c r="E13" i="7"/>
  <c r="F11" i="7"/>
  <c r="F14" i="7"/>
  <c r="F15" i="7"/>
  <c r="F10" i="7"/>
  <c r="F12" i="7"/>
  <c r="F13" i="7"/>
  <c r="H8" i="7"/>
  <c r="C21" i="7"/>
  <c r="C48" i="7"/>
  <c r="H7" i="7"/>
  <c r="H6" i="7"/>
  <c r="H3" i="7"/>
  <c r="C34" i="7"/>
  <c r="C22" i="7"/>
  <c r="E7" i="7"/>
  <c r="F7" i="7"/>
  <c r="E5" i="7"/>
  <c r="F5" i="7"/>
  <c r="E8" i="7"/>
  <c r="F8" i="7"/>
  <c r="E3" i="7"/>
  <c r="F3" i="7"/>
  <c r="E4" i="7"/>
  <c r="F4" i="7"/>
  <c r="E6" i="7"/>
  <c r="F6" i="7"/>
  <c r="F18" i="7"/>
  <c r="E18" i="7"/>
  <c r="D18" i="7"/>
  <c r="F17" i="7"/>
  <c r="E17" i="7"/>
  <c r="D17" i="7"/>
  <c r="F16" i="7"/>
  <c r="E16" i="7"/>
  <c r="D16" i="7"/>
  <c r="C17" i="7"/>
  <c r="C18" i="7"/>
  <c r="C16" i="7"/>
  <c r="H12" i="7"/>
  <c r="C43" i="7"/>
  <c r="H4" i="7"/>
  <c r="C41" i="7"/>
  <c r="H5" i="7"/>
  <c r="C42" i="7"/>
  <c r="C47" i="7"/>
  <c r="C49" i="7"/>
  <c r="C44" i="7"/>
  <c r="C50" i="7"/>
  <c r="D44" i="7"/>
  <c r="D43" i="7"/>
  <c r="D42" i="7"/>
  <c r="D41" i="7"/>
  <c r="C37" i="7"/>
  <c r="C23" i="7"/>
  <c r="C25" i="7"/>
  <c r="C26" i="7"/>
  <c r="C28" i="7"/>
  <c r="C30" i="7"/>
  <c r="C32" i="7"/>
  <c r="C27" i="7"/>
  <c r="C29" i="7"/>
  <c r="C31" i="7"/>
  <c r="H11" i="7"/>
  <c r="C87" i="7"/>
  <c r="C85" i="7"/>
  <c r="G85" i="7"/>
  <c r="G84" i="7"/>
  <c r="H59" i="7"/>
  <c r="C60" i="7"/>
  <c r="D60" i="7"/>
  <c r="E60" i="7"/>
  <c r="F60" i="7"/>
  <c r="G60" i="7"/>
  <c r="H60" i="7"/>
  <c r="C72" i="7"/>
  <c r="M86" i="10"/>
  <c r="I82" i="10"/>
  <c r="I83" i="10"/>
  <c r="I84" i="10"/>
  <c r="I85" i="10"/>
  <c r="I86" i="10"/>
  <c r="I87" i="10"/>
  <c r="I88" i="10"/>
  <c r="I89" i="10"/>
  <c r="I90" i="10"/>
  <c r="I91" i="10"/>
  <c r="I92" i="10"/>
  <c r="L86" i="10"/>
  <c r="L82" i="10"/>
  <c r="M82" i="10"/>
  <c r="C97" i="10"/>
  <c r="C102" i="10"/>
  <c r="C98" i="10"/>
  <c r="C100" i="10"/>
  <c r="C99" i="10"/>
  <c r="C107" i="10"/>
  <c r="C108" i="10"/>
  <c r="F92" i="10"/>
  <c r="F91" i="10"/>
  <c r="F90" i="10"/>
  <c r="F89" i="10"/>
  <c r="F88" i="10"/>
  <c r="F87" i="10"/>
  <c r="F86" i="10"/>
  <c r="F85" i="10"/>
  <c r="F84" i="10"/>
  <c r="F83" i="10"/>
  <c r="F82" i="10"/>
  <c r="F95" i="10"/>
  <c r="G92" i="10"/>
  <c r="G91" i="10"/>
  <c r="G90" i="10"/>
  <c r="G89" i="10"/>
  <c r="G88" i="10"/>
  <c r="G87" i="10"/>
  <c r="G86" i="10"/>
  <c r="G85" i="10"/>
  <c r="G84" i="10"/>
  <c r="G83" i="10"/>
  <c r="G82" i="10"/>
  <c r="G95" i="10"/>
  <c r="F96" i="10"/>
  <c r="H92" i="10"/>
  <c r="H91" i="10"/>
  <c r="H90" i="10"/>
  <c r="H89" i="10"/>
  <c r="H88" i="10"/>
  <c r="H87" i="10"/>
  <c r="H86" i="10"/>
  <c r="H85" i="10"/>
  <c r="H84" i="10"/>
  <c r="H83" i="10"/>
  <c r="H82" i="10"/>
  <c r="H95" i="10"/>
  <c r="H94" i="10"/>
  <c r="G94" i="10"/>
  <c r="F94" i="10"/>
  <c r="E95" i="10"/>
  <c r="E94" i="10"/>
  <c r="D95" i="10"/>
  <c r="D94" i="10"/>
  <c r="H93" i="10"/>
  <c r="G93" i="10"/>
  <c r="F93" i="10"/>
  <c r="E93" i="10"/>
  <c r="D93" i="10"/>
  <c r="C95" i="10"/>
  <c r="C94" i="10"/>
  <c r="C93" i="10"/>
  <c r="C38" i="10"/>
  <c r="D38" i="10"/>
  <c r="C17" i="10"/>
  <c r="C23" i="10"/>
  <c r="D23" i="10"/>
  <c r="E23" i="10"/>
  <c r="F23" i="10"/>
  <c r="C28" i="10"/>
  <c r="G23" i="10"/>
  <c r="C19" i="10"/>
  <c r="G25" i="10"/>
  <c r="D35" i="10"/>
  <c r="C36" i="10"/>
  <c r="D36" i="10"/>
  <c r="C35" i="10"/>
  <c r="C37" i="10"/>
  <c r="D37" i="10"/>
  <c r="D34" i="10"/>
  <c r="C27" i="10"/>
  <c r="C30" i="10"/>
  <c r="C43" i="10"/>
  <c r="C44" i="10"/>
  <c r="F4" i="10"/>
  <c r="F7" i="10"/>
  <c r="F10" i="10"/>
  <c r="F11" i="10"/>
  <c r="D10" i="10"/>
  <c r="D7" i="10"/>
  <c r="D11" i="10"/>
  <c r="C101" i="10"/>
  <c r="C116" i="10"/>
  <c r="C104" i="10"/>
  <c r="C103" i="10"/>
  <c r="C115" i="10"/>
  <c r="G35" i="10"/>
  <c r="G37" i="10"/>
  <c r="G36" i="10"/>
  <c r="K37" i="10"/>
  <c r="E10" i="10"/>
  <c r="G10" i="10"/>
  <c r="E7" i="10"/>
  <c r="G7" i="10"/>
  <c r="E4" i="10"/>
  <c r="G4" i="10"/>
  <c r="F56" i="10"/>
  <c r="C26" i="10"/>
  <c r="D55" i="10"/>
  <c r="E115" i="10"/>
  <c r="D110" i="10"/>
  <c r="D111" i="10"/>
  <c r="C110" i="10"/>
  <c r="C111" i="10"/>
  <c r="D108" i="10"/>
  <c r="D107" i="10"/>
  <c r="D62" i="10"/>
  <c r="D63" i="10"/>
  <c r="C71" i="10"/>
  <c r="C62" i="10"/>
  <c r="C63" i="10"/>
  <c r="C72" i="10"/>
  <c r="C73" i="10"/>
  <c r="C74" i="10"/>
  <c r="C75" i="10"/>
  <c r="C76" i="10"/>
  <c r="C77" i="10"/>
  <c r="E63" i="10"/>
  <c r="C66" i="10"/>
  <c r="C67" i="10"/>
  <c r="C68" i="10"/>
  <c r="E62" i="10"/>
  <c r="D61" i="10"/>
  <c r="C61" i="10"/>
  <c r="E61" i="10"/>
  <c r="F61" i="10"/>
  <c r="G61" i="10"/>
  <c r="H61" i="10"/>
  <c r="D60" i="10"/>
  <c r="C34" i="10"/>
  <c r="C60" i="10"/>
  <c r="C50" i="10"/>
  <c r="C51" i="10"/>
  <c r="C52" i="10"/>
  <c r="D39" i="10"/>
  <c r="C39" i="10"/>
  <c r="L37" i="10"/>
  <c r="M37" i="10"/>
  <c r="F37" i="10"/>
  <c r="H37" i="10"/>
  <c r="K36" i="10"/>
  <c r="L36" i="10"/>
  <c r="M36" i="10"/>
  <c r="F36" i="10"/>
  <c r="H36" i="10"/>
  <c r="E35" i="10"/>
  <c r="K35" i="10"/>
  <c r="L35" i="10"/>
  <c r="M35" i="10"/>
  <c r="F35" i="10"/>
  <c r="H35" i="10"/>
  <c r="D30" i="10"/>
  <c r="D27" i="10"/>
  <c r="D28" i="10"/>
  <c r="C18" i="10"/>
  <c r="C29" i="10"/>
  <c r="D29" i="10"/>
  <c r="E29" i="10"/>
  <c r="G24" i="10"/>
  <c r="E11" i="10"/>
  <c r="D10" i="18"/>
  <c r="D3" i="18"/>
  <c r="E10" i="18"/>
  <c r="E3" i="18"/>
  <c r="F10" i="18"/>
  <c r="F3" i="18"/>
  <c r="G10" i="18"/>
  <c r="G3" i="18"/>
  <c r="D11" i="18"/>
  <c r="D4" i="18"/>
  <c r="E11" i="18"/>
  <c r="E4" i="18"/>
  <c r="F11" i="18"/>
  <c r="F4" i="18"/>
  <c r="G11" i="18"/>
  <c r="G4" i="18"/>
  <c r="D12" i="18"/>
  <c r="D5" i="18"/>
  <c r="E12" i="18"/>
  <c r="E5" i="18"/>
  <c r="F12" i="18"/>
  <c r="F5" i="18"/>
  <c r="G12" i="18"/>
  <c r="G5" i="18"/>
  <c r="H6" i="18"/>
  <c r="H26" i="18"/>
  <c r="H3" i="18"/>
  <c r="H4" i="18"/>
  <c r="H5" i="18"/>
  <c r="D6" i="18"/>
  <c r="E6" i="18"/>
  <c r="F6" i="18"/>
  <c r="G6" i="18"/>
  <c r="H10" i="18"/>
  <c r="H11" i="18"/>
  <c r="H12" i="18"/>
  <c r="D13" i="18"/>
  <c r="E13" i="18"/>
  <c r="F13" i="18"/>
  <c r="G13" i="18"/>
  <c r="H13" i="18"/>
  <c r="H17" i="18"/>
  <c r="H18" i="18"/>
  <c r="H19" i="18"/>
  <c r="D20" i="18"/>
  <c r="E20" i="18"/>
  <c r="F20" i="18"/>
  <c r="G20" i="18"/>
  <c r="H20" i="18"/>
  <c r="F29" i="18"/>
  <c r="C28" i="18"/>
  <c r="F30" i="18"/>
  <c r="F31" i="18"/>
  <c r="C34" i="18"/>
  <c r="C35" i="18"/>
  <c r="C36" i="18"/>
  <c r="C37" i="18"/>
  <c r="C38" i="18"/>
  <c r="C63" i="18"/>
  <c r="D63" i="18"/>
  <c r="C64" i="18"/>
  <c r="D64" i="18"/>
  <c r="E64" i="18"/>
  <c r="D67" i="18"/>
  <c r="C67" i="18"/>
  <c r="E67" i="18"/>
  <c r="F64" i="18"/>
  <c r="G64" i="18"/>
  <c r="H64" i="18"/>
  <c r="C65" i="18"/>
  <c r="D65" i="18"/>
  <c r="E65" i="18"/>
  <c r="F65" i="18"/>
  <c r="G65" i="18"/>
  <c r="H65" i="18"/>
  <c r="C66" i="18"/>
  <c r="D66" i="18"/>
  <c r="E66" i="18"/>
  <c r="F66" i="18"/>
  <c r="G66" i="18"/>
  <c r="H66" i="18"/>
  <c r="C68" i="18"/>
  <c r="D68" i="18"/>
  <c r="C74" i="18"/>
  <c r="E74" i="18"/>
  <c r="C75" i="18"/>
  <c r="E75" i="18"/>
  <c r="C76" i="18"/>
  <c r="E76" i="18"/>
  <c r="C79" i="18"/>
  <c r="E79" i="18"/>
  <c r="C80" i="18"/>
  <c r="E80" i="18"/>
  <c r="C81" i="18"/>
  <c r="E81" i="18"/>
  <c r="C84" i="18"/>
  <c r="C85" i="18"/>
  <c r="C86" i="18"/>
  <c r="C87" i="18"/>
  <c r="C88" i="18"/>
  <c r="C89" i="18"/>
  <c r="C90" i="18"/>
  <c r="C94" i="18"/>
  <c r="C95" i="18"/>
  <c r="C96" i="18"/>
  <c r="C97" i="18"/>
  <c r="C98" i="18"/>
  <c r="C99" i="18"/>
  <c r="C100" i="18"/>
  <c r="C101" i="18"/>
  <c r="C105" i="18"/>
  <c r="C106" i="18"/>
  <c r="C107" i="18"/>
  <c r="C110" i="18"/>
  <c r="C111" i="18"/>
  <c r="C112" i="18"/>
  <c r="D23" i="8"/>
  <c r="C88" i="8"/>
  <c r="C24" i="8"/>
  <c r="C23" i="8"/>
  <c r="C22" i="8"/>
  <c r="D22" i="8"/>
  <c r="E24" i="8"/>
  <c r="E26" i="8"/>
  <c r="D21" i="8"/>
  <c r="D20" i="8"/>
  <c r="C20" i="8"/>
  <c r="C21" i="8"/>
  <c r="C25" i="8"/>
  <c r="F26" i="8"/>
  <c r="F25" i="8"/>
  <c r="F22" i="8"/>
  <c r="F21" i="8"/>
  <c r="E23" i="8"/>
  <c r="E20" i="8"/>
  <c r="C97" i="8"/>
  <c r="C99" i="8"/>
  <c r="C100" i="8"/>
  <c r="C101" i="8"/>
  <c r="C107" i="8"/>
  <c r="C108" i="8"/>
  <c r="C106" i="8"/>
  <c r="C109" i="8"/>
  <c r="C110" i="8"/>
  <c r="E44" i="8"/>
  <c r="E45" i="8"/>
  <c r="E87" i="8"/>
  <c r="C90" i="8"/>
  <c r="E48" i="8"/>
  <c r="E46" i="8"/>
  <c r="E49" i="8"/>
  <c r="E50" i="8"/>
  <c r="E51" i="8"/>
  <c r="C87" i="8"/>
  <c r="C89" i="8"/>
  <c r="E81" i="8"/>
  <c r="D44" i="8"/>
  <c r="D45" i="8"/>
  <c r="F44" i="8"/>
  <c r="F45" i="8"/>
  <c r="E82" i="8"/>
  <c r="C84" i="8"/>
  <c r="C81" i="8"/>
  <c r="D48" i="8"/>
  <c r="D46" i="8"/>
  <c r="D49" i="8"/>
  <c r="D50" i="8"/>
  <c r="F48" i="8"/>
  <c r="F46" i="8"/>
  <c r="F49" i="8"/>
  <c r="F50" i="8"/>
  <c r="C82" i="8"/>
  <c r="C83" i="8"/>
  <c r="C46" i="8"/>
  <c r="C44" i="8"/>
  <c r="C49" i="8"/>
  <c r="G49" i="8"/>
  <c r="G46" i="8"/>
  <c r="G44" i="8"/>
  <c r="D77" i="8"/>
  <c r="D78" i="8"/>
  <c r="D79" i="8"/>
  <c r="C45" i="8"/>
  <c r="G45" i="8"/>
  <c r="C78" i="8"/>
  <c r="C79" i="8"/>
  <c r="E78" i="8"/>
  <c r="G77" i="8"/>
  <c r="E77" i="8"/>
  <c r="F77" i="8"/>
  <c r="F70" i="8"/>
  <c r="F51" i="8"/>
  <c r="F71" i="8"/>
  <c r="F72" i="8"/>
  <c r="E70" i="8"/>
  <c r="E71" i="8"/>
  <c r="E72" i="8"/>
  <c r="D70" i="8"/>
  <c r="D51" i="8"/>
  <c r="D71" i="8"/>
  <c r="D72" i="8"/>
  <c r="F65" i="8"/>
  <c r="C48" i="8"/>
  <c r="C50" i="8"/>
  <c r="C58" i="8"/>
  <c r="C59" i="8"/>
  <c r="C60" i="8"/>
  <c r="F66" i="8"/>
  <c r="F67" i="8"/>
  <c r="E65" i="8"/>
  <c r="E66" i="8"/>
  <c r="E67" i="8"/>
  <c r="D65" i="8"/>
  <c r="D66" i="8"/>
  <c r="D67" i="8"/>
  <c r="C65" i="8"/>
  <c r="C66" i="8"/>
  <c r="C67" i="8"/>
  <c r="C54" i="8"/>
  <c r="C55" i="8"/>
  <c r="C56" i="8"/>
  <c r="C52" i="8"/>
  <c r="D52" i="8"/>
  <c r="E52" i="8"/>
  <c r="F52" i="8"/>
  <c r="G52" i="8"/>
  <c r="G50" i="8"/>
  <c r="F47" i="8"/>
  <c r="E47" i="8"/>
  <c r="D47" i="8"/>
  <c r="C47" i="8"/>
  <c r="H5" i="17"/>
  <c r="F9" i="17"/>
  <c r="F8" i="17"/>
  <c r="F7" i="17"/>
  <c r="F6" i="17"/>
  <c r="F5" i="17"/>
  <c r="F4" i="17"/>
  <c r="F3" i="17"/>
  <c r="F2" i="17"/>
  <c r="H4" i="17"/>
  <c r="C62" i="17"/>
  <c r="C63" i="17"/>
  <c r="D62" i="17"/>
  <c r="D63" i="17"/>
  <c r="D72" i="17"/>
  <c r="D83" i="17"/>
  <c r="C61" i="17"/>
  <c r="C64" i="17"/>
  <c r="D61" i="17"/>
  <c r="D64" i="17"/>
  <c r="D80" i="17"/>
  <c r="C66" i="17"/>
  <c r="D66" i="17"/>
  <c r="D71" i="17"/>
  <c r="D73" i="17"/>
  <c r="D74" i="17"/>
  <c r="D82" i="17"/>
  <c r="D67" i="17"/>
  <c r="D68" i="17"/>
  <c r="G76" i="17"/>
  <c r="G77" i="17"/>
  <c r="G78" i="17"/>
  <c r="G63" i="17"/>
  <c r="G64" i="17"/>
  <c r="G66" i="17"/>
  <c r="D65" i="17"/>
  <c r="C65" i="17"/>
  <c r="G57" i="17"/>
  <c r="G58" i="17"/>
  <c r="G59" i="17"/>
  <c r="C39" i="17"/>
  <c r="C49" i="17"/>
  <c r="F10" i="17"/>
  <c r="F11" i="17"/>
  <c r="F13" i="17"/>
  <c r="C47" i="17"/>
  <c r="F14" i="17"/>
  <c r="F15" i="17"/>
  <c r="F12" i="17"/>
  <c r="F16" i="17"/>
  <c r="C40" i="17"/>
  <c r="C41" i="17"/>
  <c r="C48" i="17"/>
  <c r="F40" i="17"/>
  <c r="F41" i="17"/>
  <c r="F42" i="17"/>
  <c r="C14" i="17"/>
  <c r="C10" i="17"/>
  <c r="C11" i="17"/>
  <c r="C15" i="17"/>
  <c r="D14" i="17"/>
  <c r="D10" i="17"/>
  <c r="D11" i="17"/>
  <c r="D15" i="17"/>
  <c r="C12" i="17"/>
  <c r="D12" i="17"/>
  <c r="C20" i="17"/>
  <c r="C22" i="17"/>
  <c r="C23" i="17"/>
  <c r="G31" i="17"/>
  <c r="C21" i="17"/>
  <c r="G32" i="17"/>
  <c r="G33" i="17"/>
  <c r="C31" i="17"/>
  <c r="H26" i="17"/>
  <c r="H27" i="17"/>
  <c r="H28" i="17"/>
  <c r="F26" i="17"/>
  <c r="F27" i="17"/>
  <c r="F28" i="17"/>
  <c r="C13" i="17"/>
  <c r="D13" i="17"/>
  <c r="C29" i="17"/>
  <c r="C30" i="17"/>
  <c r="F17" i="17"/>
  <c r="D16" i="17"/>
  <c r="D17" i="17"/>
  <c r="C16" i="17"/>
  <c r="C17" i="17"/>
  <c r="C62" i="8"/>
  <c r="C124" i="10"/>
  <c r="M83" i="10"/>
  <c r="M84" i="10"/>
  <c r="M85" i="10"/>
  <c r="L83" i="10"/>
  <c r="L84" i="10"/>
  <c r="L85" i="10"/>
  <c r="E84" i="7"/>
  <c r="F84" i="7"/>
  <c r="D85" i="7"/>
  <c r="E85" i="7"/>
  <c r="F85" i="7"/>
  <c r="H84" i="7"/>
  <c r="C89" i="7"/>
  <c r="H85" i="7"/>
  <c r="C90" i="7"/>
</calcChain>
</file>

<file path=xl/sharedStrings.xml><?xml version="1.0" encoding="utf-8"?>
<sst xmlns="http://schemas.openxmlformats.org/spreadsheetml/2006/main" count="680" uniqueCount="493">
  <si>
    <t>b</t>
  </si>
  <si>
    <t>c</t>
  </si>
  <si>
    <t>d</t>
  </si>
  <si>
    <t>1</t>
    <phoneticPr fontId="13" type="noConversion"/>
  </si>
  <si>
    <t>T:</t>
    <phoneticPr fontId="13" type="noConversion"/>
  </si>
  <si>
    <t>n:</t>
    <phoneticPr fontId="13" type="noConversion"/>
  </si>
  <si>
    <t>df:</t>
    <phoneticPr fontId="13" type="noConversion"/>
  </si>
  <si>
    <t>M:</t>
    <phoneticPr fontId="13" type="noConversion"/>
  </si>
  <si>
    <t>SS:</t>
    <phoneticPr fontId="13" type="noConversion"/>
  </si>
  <si>
    <t>a</t>
    <phoneticPr fontId="13" type="noConversion"/>
  </si>
  <si>
    <t>Ignore "diff" column. Combining estimates...</t>
    <phoneticPr fontId="13" type="noConversion"/>
  </si>
  <si>
    <t xml:space="preserve">df = </t>
    <phoneticPr fontId="13" type="noConversion"/>
  </si>
  <si>
    <t>Hypothesis Testing</t>
    <phoneticPr fontId="13" type="noConversion"/>
  </si>
  <si>
    <t>Confidence Intervals</t>
    <phoneticPr fontId="13" type="noConversion"/>
  </si>
  <si>
    <t>Percent Conf:</t>
    <phoneticPr fontId="13" type="noConversion"/>
  </si>
  <si>
    <t xml:space="preserve">crit t = </t>
    <phoneticPr fontId="13" type="noConversion"/>
  </si>
  <si>
    <t xml:space="preserve">Obt t = </t>
    <phoneticPr fontId="13" type="noConversion"/>
  </si>
  <si>
    <t>CI magnitude = ±</t>
    <phoneticPr fontId="13" type="noConversion"/>
  </si>
  <si>
    <t>Crit t = ±</t>
    <phoneticPr fontId="13" type="noConversion"/>
  </si>
  <si>
    <t xml:space="preserve">Consider only "diff" column. </t>
    <phoneticPr fontId="13" type="noConversion"/>
  </si>
  <si>
    <t xml:space="preserve">n = </t>
    <phoneticPr fontId="13" type="noConversion"/>
  </si>
  <si>
    <t>e</t>
    <phoneticPr fontId="13" type="noConversion"/>
  </si>
  <si>
    <t>2</t>
    <phoneticPr fontId="13" type="noConversion"/>
  </si>
  <si>
    <t>Boys</t>
    <phoneticPr fontId="13" type="noConversion"/>
  </si>
  <si>
    <t>Girls</t>
    <phoneticPr fontId="13" type="noConversion"/>
  </si>
  <si>
    <t>c</t>
    <phoneticPr fontId="13" type="noConversion"/>
  </si>
  <si>
    <t xml:space="preserve">CI magnitude = </t>
    <phoneticPr fontId="13" type="noConversion"/>
  </si>
  <si>
    <t>a</t>
    <phoneticPr fontId="13" type="noConversion"/>
  </si>
  <si>
    <t>M:</t>
    <phoneticPr fontId="13" type="noConversion"/>
  </si>
  <si>
    <t>can't compute</t>
    <phoneticPr fontId="13" type="noConversion"/>
  </si>
  <si>
    <t>b</t>
    <phoneticPr fontId="13" type="noConversion"/>
  </si>
  <si>
    <t>Combining estimates...</t>
    <phoneticPr fontId="13" type="noConversion"/>
  </si>
  <si>
    <t>d</t>
    <phoneticPr fontId="13" type="noConversion"/>
  </si>
  <si>
    <t>Can't compute! There are zero degrees of freedom in Group 1</t>
    <phoneticPr fontId="13" type="noConversion"/>
  </si>
  <si>
    <t>N/A</t>
    <phoneticPr fontId="13" type="noConversion"/>
  </si>
  <si>
    <t>N/A</t>
    <phoneticPr fontId="13" type="noConversion"/>
  </si>
  <si>
    <t xml:space="preserve">Crit t = </t>
    <phoneticPr fontId="13" type="noConversion"/>
  </si>
  <si>
    <t>3</t>
    <phoneticPr fontId="13" type="noConversion"/>
  </si>
  <si>
    <r>
      <t>Control (x</t>
    </r>
    <r>
      <rPr>
        <vertAlign val="subscript"/>
        <sz val="11"/>
        <rFont val="Times"/>
      </rPr>
      <t>1</t>
    </r>
    <r>
      <rPr>
        <sz val="11"/>
        <rFont val="Times"/>
      </rPr>
      <t>)</t>
    </r>
  </si>
  <si>
    <r>
      <t>Nicotine (x</t>
    </r>
    <r>
      <rPr>
        <vertAlign val="subscript"/>
        <sz val="11"/>
        <rFont val="Times"/>
      </rPr>
      <t>2</t>
    </r>
    <r>
      <rPr>
        <sz val="11"/>
        <rFont val="Times"/>
      </rPr>
      <t>)</t>
    </r>
  </si>
  <si>
    <r>
      <t>For M</t>
    </r>
    <r>
      <rPr>
        <vertAlign val="subscript"/>
        <sz val="10"/>
        <rFont val="Times"/>
      </rPr>
      <t>1</t>
    </r>
    <r>
      <rPr>
        <sz val="10"/>
        <rFont val="Times"/>
      </rPr>
      <t>:</t>
    </r>
  </si>
  <si>
    <r>
      <t>For M</t>
    </r>
    <r>
      <rPr>
        <vertAlign val="subscript"/>
        <sz val="10"/>
        <rFont val="Times"/>
      </rPr>
      <t>2</t>
    </r>
    <r>
      <rPr>
        <sz val="10"/>
        <rFont val="Times"/>
      </rPr>
      <t>:</t>
    </r>
  </si>
  <si>
    <r>
      <t>a</t>
    </r>
    <r>
      <rPr>
        <sz val="10"/>
        <rFont val="Times"/>
      </rPr>
      <t xml:space="preserve"> = </t>
    </r>
  </si>
  <si>
    <r>
      <t>Conclusion: Don't reject H</t>
    </r>
    <r>
      <rPr>
        <vertAlign val="subscript"/>
        <sz val="10"/>
        <rFont val="Times"/>
      </rPr>
      <t>0</t>
    </r>
  </si>
  <si>
    <r>
      <t>For M</t>
    </r>
    <r>
      <rPr>
        <vertAlign val="subscript"/>
        <sz val="10"/>
        <rFont val="Times"/>
      </rPr>
      <t>diff</t>
    </r>
    <r>
      <rPr>
        <sz val="10"/>
        <rFont val="Times"/>
      </rPr>
      <t>:</t>
    </r>
  </si>
  <si>
    <r>
      <t>M</t>
    </r>
    <r>
      <rPr>
        <vertAlign val="subscript"/>
        <sz val="10"/>
        <rFont val="Times"/>
      </rPr>
      <t>diff</t>
    </r>
    <r>
      <rPr>
        <sz val="10"/>
        <rFont val="Times"/>
      </rPr>
      <t xml:space="preserve"> = </t>
    </r>
  </si>
  <si>
    <r>
      <t>Conclusion: Reject H</t>
    </r>
    <r>
      <rPr>
        <vertAlign val="subscript"/>
        <sz val="10"/>
        <rFont val="Times"/>
      </rPr>
      <t>0</t>
    </r>
  </si>
  <si>
    <r>
      <t>(M</t>
    </r>
    <r>
      <rPr>
        <vertAlign val="subscript"/>
        <sz val="10"/>
        <rFont val="Times"/>
      </rPr>
      <t>1</t>
    </r>
    <r>
      <rPr>
        <sz val="10"/>
        <rFont val="Times"/>
      </rPr>
      <t xml:space="preserve"> - M</t>
    </r>
    <r>
      <rPr>
        <vertAlign val="subscript"/>
        <sz val="10"/>
        <rFont val="Times"/>
      </rPr>
      <t>2</t>
    </r>
    <r>
      <rPr>
        <sz val="10"/>
        <rFont val="Times"/>
      </rPr>
      <t xml:space="preserve">) = </t>
    </r>
  </si>
  <si>
    <r>
      <t>For (M</t>
    </r>
    <r>
      <rPr>
        <vertAlign val="subscript"/>
        <sz val="10"/>
        <rFont val="Times"/>
      </rPr>
      <t>1</t>
    </r>
    <r>
      <rPr>
        <sz val="10"/>
        <rFont val="Times"/>
      </rPr>
      <t xml:space="preserve"> - M</t>
    </r>
    <r>
      <rPr>
        <vertAlign val="subscript"/>
        <sz val="10"/>
        <rFont val="Times"/>
      </rPr>
      <t>2</t>
    </r>
    <r>
      <rPr>
        <sz val="10"/>
        <rFont val="Times"/>
      </rPr>
      <t>):</t>
    </r>
  </si>
  <si>
    <r>
      <t>Can't compute! You need to assume HOV to compute a CI around (M</t>
    </r>
    <r>
      <rPr>
        <vertAlign val="subscript"/>
        <sz val="10"/>
        <rFont val="Times"/>
      </rPr>
      <t>1</t>
    </r>
    <r>
      <rPr>
        <sz val="10"/>
        <rFont val="Times"/>
      </rPr>
      <t xml:space="preserve"> - M</t>
    </r>
    <r>
      <rPr>
        <vertAlign val="subscript"/>
        <sz val="10"/>
        <rFont val="Times"/>
      </rPr>
      <t>2</t>
    </r>
    <r>
      <rPr>
        <sz val="10"/>
        <rFont val="Times"/>
      </rPr>
      <t>)</t>
    </r>
  </si>
  <si>
    <r>
      <t>Conclusion: Fail to reject H</t>
    </r>
    <r>
      <rPr>
        <vertAlign val="subscript"/>
        <sz val="10"/>
        <rFont val="Times"/>
      </rPr>
      <t>0</t>
    </r>
  </si>
  <si>
    <r>
      <t xml:space="preserve">The statement is wrong. It should be that </t>
    </r>
    <r>
      <rPr>
        <b/>
        <i/>
        <sz val="10"/>
        <rFont val="Times"/>
      </rPr>
      <t>if the null hypothesis is true,</t>
    </r>
    <r>
      <rPr>
        <i/>
        <sz val="10"/>
        <rFont val="Times"/>
      </rPr>
      <t xml:space="preserve"> </t>
    </r>
    <r>
      <rPr>
        <sz val="10"/>
        <rFont val="Times"/>
      </rPr>
      <t>then the probability is less than .05 that a difference as great as the observed difference would have occurred.</t>
    </r>
  </si>
  <si>
    <r>
      <t>est</t>
    </r>
    <r>
      <rPr>
        <vertAlign val="subscript"/>
        <sz val="10"/>
        <rFont val="Times"/>
      </rPr>
      <t>j</t>
    </r>
    <r>
      <rPr>
        <sz val="10"/>
        <rFont val="Symbol"/>
      </rPr>
      <t>s</t>
    </r>
    <r>
      <rPr>
        <vertAlign val="superscript"/>
        <sz val="10"/>
        <rFont val="Times"/>
      </rPr>
      <t>2</t>
    </r>
    <r>
      <rPr>
        <sz val="10"/>
        <rFont val="Times"/>
      </rPr>
      <t>:</t>
    </r>
  </si>
  <si>
    <r>
      <t>est</t>
    </r>
    <r>
      <rPr>
        <sz val="10"/>
        <rFont val="Symbol"/>
      </rPr>
      <t>s</t>
    </r>
    <r>
      <rPr>
        <vertAlign val="subscript"/>
        <sz val="10"/>
        <rFont val="Times"/>
      </rPr>
      <t>Mj</t>
    </r>
    <r>
      <rPr>
        <sz val="10"/>
        <rFont val="Times"/>
      </rPr>
      <t>:</t>
    </r>
  </si>
  <si>
    <r>
      <t>est</t>
    </r>
    <r>
      <rPr>
        <sz val="10"/>
        <rFont val="Symbol"/>
      </rPr>
      <t>s</t>
    </r>
    <r>
      <rPr>
        <vertAlign val="superscript"/>
        <sz val="10"/>
        <rFont val="Times"/>
      </rPr>
      <t>2</t>
    </r>
    <r>
      <rPr>
        <sz val="10"/>
        <rFont val="Times"/>
      </rPr>
      <t xml:space="preserve"> = </t>
    </r>
  </si>
  <si>
    <r>
      <t>H</t>
    </r>
    <r>
      <rPr>
        <vertAlign val="subscript"/>
        <sz val="10"/>
        <rFont val="Times"/>
      </rPr>
      <t>1</t>
    </r>
    <r>
      <rPr>
        <sz val="10"/>
        <rFont val="Times"/>
      </rPr>
      <t xml:space="preserve">: </t>
    </r>
    <r>
      <rPr>
        <sz val="10"/>
        <rFont val="Symbol"/>
      </rPr>
      <t>m</t>
    </r>
    <r>
      <rPr>
        <vertAlign val="subscript"/>
        <sz val="10"/>
        <rFont val="Times"/>
      </rPr>
      <t>1</t>
    </r>
    <r>
      <rPr>
        <sz val="10"/>
        <rFont val="Times"/>
      </rPr>
      <t xml:space="preserve"> ≠</t>
    </r>
    <r>
      <rPr>
        <sz val="10"/>
        <rFont val="Symbol"/>
      </rPr>
      <t xml:space="preserve"> m</t>
    </r>
    <r>
      <rPr>
        <vertAlign val="subscript"/>
        <sz val="10"/>
        <rFont val="Times"/>
      </rPr>
      <t>2</t>
    </r>
  </si>
  <si>
    <r>
      <t>H</t>
    </r>
    <r>
      <rPr>
        <vertAlign val="subscript"/>
        <sz val="10"/>
        <rFont val="Times"/>
      </rPr>
      <t>0</t>
    </r>
    <r>
      <rPr>
        <sz val="10"/>
        <rFont val="Times"/>
      </rPr>
      <t xml:space="preserve">: </t>
    </r>
    <r>
      <rPr>
        <sz val="10"/>
        <rFont val="Symbol"/>
      </rPr>
      <t>m</t>
    </r>
    <r>
      <rPr>
        <vertAlign val="subscript"/>
        <sz val="10"/>
        <rFont val="Times"/>
      </rPr>
      <t>1</t>
    </r>
    <r>
      <rPr>
        <sz val="10"/>
        <rFont val="Times"/>
      </rPr>
      <t xml:space="preserve"> = </t>
    </r>
    <r>
      <rPr>
        <sz val="10"/>
        <rFont val="Symbol"/>
      </rPr>
      <t>m</t>
    </r>
    <r>
      <rPr>
        <vertAlign val="subscript"/>
        <sz val="10"/>
        <rFont val="Times"/>
      </rPr>
      <t>2</t>
    </r>
  </si>
  <si>
    <r>
      <t>est</t>
    </r>
    <r>
      <rPr>
        <sz val="10"/>
        <rFont val="Symbol"/>
      </rPr>
      <t>s</t>
    </r>
    <r>
      <rPr>
        <vertAlign val="subscript"/>
        <sz val="10"/>
        <rFont val="Times"/>
      </rPr>
      <t>M1</t>
    </r>
    <r>
      <rPr>
        <sz val="10"/>
        <rFont val="Times"/>
      </rPr>
      <t xml:space="preserve"> = </t>
    </r>
  </si>
  <si>
    <r>
      <t>est</t>
    </r>
    <r>
      <rPr>
        <sz val="10"/>
        <rFont val="Symbol"/>
      </rPr>
      <t>s</t>
    </r>
    <r>
      <rPr>
        <vertAlign val="subscript"/>
        <sz val="10"/>
        <rFont val="Times"/>
      </rPr>
      <t>M2</t>
    </r>
    <r>
      <rPr>
        <sz val="10"/>
        <rFont val="Times"/>
      </rPr>
      <t xml:space="preserve"> = </t>
    </r>
  </si>
  <si>
    <r>
      <t>est</t>
    </r>
    <r>
      <rPr>
        <sz val="10"/>
        <rFont val="Symbol"/>
      </rPr>
      <t>s</t>
    </r>
    <r>
      <rPr>
        <vertAlign val="subscript"/>
        <sz val="10"/>
        <rFont val="Times"/>
      </rPr>
      <t>Mdiff</t>
    </r>
    <r>
      <rPr>
        <sz val="10"/>
        <rFont val="Times"/>
      </rPr>
      <t xml:space="preserve"> = </t>
    </r>
  </si>
  <si>
    <r>
      <t>H</t>
    </r>
    <r>
      <rPr>
        <vertAlign val="subscript"/>
        <sz val="10"/>
        <rFont val="Times"/>
      </rPr>
      <t>0</t>
    </r>
    <r>
      <rPr>
        <sz val="10"/>
        <rFont val="Times"/>
      </rPr>
      <t xml:space="preserve">: </t>
    </r>
    <r>
      <rPr>
        <sz val="10"/>
        <rFont val="Symbol"/>
      </rPr>
      <t>m</t>
    </r>
    <r>
      <rPr>
        <vertAlign val="subscript"/>
        <sz val="10"/>
        <rFont val="Times"/>
      </rPr>
      <t>diff</t>
    </r>
    <r>
      <rPr>
        <sz val="10"/>
        <rFont val="Times"/>
      </rPr>
      <t xml:space="preserve"> = 0</t>
    </r>
  </si>
  <si>
    <r>
      <t>H</t>
    </r>
    <r>
      <rPr>
        <vertAlign val="subscript"/>
        <sz val="10"/>
        <rFont val="Times"/>
      </rPr>
      <t>1</t>
    </r>
    <r>
      <rPr>
        <sz val="10"/>
        <rFont val="Times"/>
      </rPr>
      <t xml:space="preserve">: </t>
    </r>
    <r>
      <rPr>
        <sz val="10"/>
        <rFont val="Symbol"/>
      </rPr>
      <t>m</t>
    </r>
    <r>
      <rPr>
        <vertAlign val="subscript"/>
        <sz val="10"/>
        <rFont val="Times"/>
      </rPr>
      <t>diff</t>
    </r>
    <r>
      <rPr>
        <sz val="10"/>
        <rFont val="Times"/>
      </rPr>
      <t xml:space="preserve"> ≠ 0</t>
    </r>
  </si>
  <si>
    <r>
      <rPr>
        <sz val="10"/>
        <rFont val="Symbol"/>
      </rPr>
      <t>S</t>
    </r>
    <r>
      <rPr>
        <sz val="10"/>
        <rFont val="Times"/>
      </rPr>
      <t>X</t>
    </r>
    <r>
      <rPr>
        <vertAlign val="subscript"/>
        <sz val="10"/>
        <rFont val="Times"/>
      </rPr>
      <t>i</t>
    </r>
    <r>
      <rPr>
        <vertAlign val="superscript"/>
        <sz val="10"/>
        <rFont val="Times"/>
      </rPr>
      <t>2</t>
    </r>
    <r>
      <rPr>
        <sz val="10"/>
        <rFont val="Times"/>
      </rPr>
      <t xml:space="preserve">:  </t>
    </r>
  </si>
  <si>
    <r>
      <t>est</t>
    </r>
    <r>
      <rPr>
        <sz val="10"/>
        <rFont val="Symbol"/>
      </rPr>
      <t>s</t>
    </r>
    <r>
      <rPr>
        <vertAlign val="subscript"/>
        <sz val="10"/>
        <rFont val="Times"/>
      </rPr>
      <t>M1-M2</t>
    </r>
    <r>
      <rPr>
        <sz val="10"/>
        <rFont val="Times"/>
      </rPr>
      <t xml:space="preserve"> = </t>
    </r>
  </si>
  <si>
    <r>
      <t>H</t>
    </r>
    <r>
      <rPr>
        <vertAlign val="subscript"/>
        <sz val="10"/>
        <rFont val="Times"/>
      </rPr>
      <t>1</t>
    </r>
    <r>
      <rPr>
        <sz val="10"/>
        <rFont val="Times"/>
      </rPr>
      <t xml:space="preserve">: </t>
    </r>
    <r>
      <rPr>
        <sz val="10"/>
        <rFont val="Symbol"/>
      </rPr>
      <t>m</t>
    </r>
    <r>
      <rPr>
        <vertAlign val="subscript"/>
        <sz val="10"/>
        <rFont val="Times"/>
      </rPr>
      <t>1</t>
    </r>
    <r>
      <rPr>
        <sz val="10"/>
        <rFont val="Times"/>
      </rPr>
      <t xml:space="preserve"> &lt; </t>
    </r>
    <r>
      <rPr>
        <sz val="10"/>
        <rFont val="Symbol"/>
      </rPr>
      <t>m</t>
    </r>
    <r>
      <rPr>
        <vertAlign val="subscript"/>
        <sz val="10"/>
        <rFont val="Times"/>
      </rPr>
      <t>2</t>
    </r>
  </si>
  <si>
    <r>
      <rPr>
        <sz val="10"/>
        <rFont val="Times"/>
      </rPr>
      <t>est</t>
    </r>
    <r>
      <rPr>
        <vertAlign val="subscript"/>
        <sz val="10"/>
        <rFont val="Times"/>
      </rPr>
      <t>j</t>
    </r>
    <r>
      <rPr>
        <sz val="10"/>
        <rFont val="Symbol"/>
      </rPr>
      <t>s</t>
    </r>
    <r>
      <rPr>
        <vertAlign val="superscript"/>
        <sz val="10"/>
        <rFont val="Times"/>
      </rPr>
      <t>2</t>
    </r>
    <r>
      <rPr>
        <sz val="10"/>
        <rFont val="Times"/>
      </rPr>
      <t>:</t>
    </r>
  </si>
  <si>
    <r>
      <rPr>
        <sz val="10"/>
        <rFont val="Symbol"/>
      </rPr>
      <t>S</t>
    </r>
    <r>
      <rPr>
        <sz val="10"/>
        <rFont val="Times"/>
      </rPr>
      <t>x</t>
    </r>
    <r>
      <rPr>
        <vertAlign val="subscript"/>
        <sz val="10"/>
        <rFont val="Times"/>
      </rPr>
      <t>i</t>
    </r>
    <r>
      <rPr>
        <vertAlign val="superscript"/>
        <sz val="10"/>
        <rFont val="Times"/>
      </rPr>
      <t>2</t>
    </r>
    <r>
      <rPr>
        <sz val="10"/>
        <rFont val="Times"/>
      </rPr>
      <t xml:space="preserve">: </t>
    </r>
  </si>
  <si>
    <r>
      <t>est</t>
    </r>
    <r>
      <rPr>
        <sz val="10"/>
        <rFont val="Symbol"/>
      </rPr>
      <t>s</t>
    </r>
    <r>
      <rPr>
        <vertAlign val="superscript"/>
        <sz val="10"/>
        <rFont val="Times"/>
      </rPr>
      <t>2</t>
    </r>
    <r>
      <rPr>
        <vertAlign val="subscript"/>
        <sz val="10"/>
        <rFont val="Times"/>
      </rPr>
      <t>M1-M2</t>
    </r>
  </si>
  <si>
    <r>
      <t>diff = (x</t>
    </r>
    <r>
      <rPr>
        <vertAlign val="subscript"/>
        <sz val="10"/>
        <rFont val="Times"/>
      </rPr>
      <t>1</t>
    </r>
    <r>
      <rPr>
        <sz val="10"/>
        <rFont val="Times"/>
      </rPr>
      <t xml:space="preserve"> - x</t>
    </r>
    <r>
      <rPr>
        <vertAlign val="subscript"/>
        <sz val="10"/>
        <rFont val="Times"/>
      </rPr>
      <t>2</t>
    </r>
    <r>
      <rPr>
        <sz val="10"/>
        <rFont val="Times"/>
      </rPr>
      <t>)</t>
    </r>
  </si>
  <si>
    <r>
      <t>M</t>
    </r>
    <r>
      <rPr>
        <vertAlign val="subscript"/>
        <sz val="10"/>
        <rFont val="Times"/>
      </rPr>
      <t>diff</t>
    </r>
    <r>
      <rPr>
        <sz val="10"/>
        <rFont val="Times"/>
      </rPr>
      <t>:</t>
    </r>
  </si>
  <si>
    <r>
      <t>est</t>
    </r>
    <r>
      <rPr>
        <sz val="10"/>
        <rFont val="Symbol"/>
      </rPr>
      <t>s</t>
    </r>
    <r>
      <rPr>
        <vertAlign val="superscript"/>
        <sz val="10"/>
        <rFont val="Times"/>
      </rPr>
      <t>2</t>
    </r>
    <r>
      <rPr>
        <sz val="10"/>
        <rFont val="Times"/>
      </rPr>
      <t>:</t>
    </r>
  </si>
  <si>
    <r>
      <t>est</t>
    </r>
    <r>
      <rPr>
        <sz val="10"/>
        <rFont val="Symbol"/>
      </rPr>
      <t>s</t>
    </r>
    <r>
      <rPr>
        <vertAlign val="subscript"/>
        <sz val="10"/>
        <rFont val="Times"/>
      </rPr>
      <t>M</t>
    </r>
    <r>
      <rPr>
        <sz val="10"/>
        <rFont val="Times"/>
      </rPr>
      <t>:</t>
    </r>
  </si>
  <si>
    <r>
      <t>est</t>
    </r>
    <r>
      <rPr>
        <sz val="10"/>
        <rFont val="Symbol"/>
      </rPr>
      <t>s</t>
    </r>
    <r>
      <rPr>
        <vertAlign val="subscript"/>
        <sz val="10"/>
        <rFont val="Times"/>
      </rPr>
      <t>M</t>
    </r>
    <r>
      <rPr>
        <sz val="10"/>
        <rFont val="Times"/>
      </rPr>
      <t xml:space="preserve"> = </t>
    </r>
  </si>
  <si>
    <r>
      <rPr>
        <sz val="10"/>
        <rFont val="Symbol"/>
      </rPr>
      <t>a</t>
    </r>
    <r>
      <rPr>
        <sz val="10"/>
        <rFont val="Times"/>
      </rPr>
      <t xml:space="preserve"> = </t>
    </r>
  </si>
  <si>
    <r>
      <t xml:space="preserve">Many answers would be acceptable here. Here are two. The simplest one is that if the rat pairs differ a lot from one another, then there'd be a lot of variablity in both the Control and Nicotine scores -- but not necessarily very much variability in the difference scores. The other is that there is variablity between twin pairs that is added to both the "Male" and "Female" columns of scores and thus goes into the estimate of </t>
    </r>
    <r>
      <rPr>
        <sz val="10"/>
        <rFont val="Symbol"/>
      </rPr>
      <t>s</t>
    </r>
    <r>
      <rPr>
        <vertAlign val="superscript"/>
        <sz val="10"/>
        <rFont val="Times"/>
      </rPr>
      <t>2</t>
    </r>
    <r>
      <rPr>
        <sz val="10"/>
        <rFont val="Times"/>
      </rPr>
      <t xml:space="preserve"> that is used for the between-subjects t-test. This variability is subtracted out of the "diff" column and therefore does not get added to the estimate of </t>
    </r>
    <r>
      <rPr>
        <sz val="10"/>
        <rFont val="Symbol"/>
      </rPr>
      <t>s</t>
    </r>
    <r>
      <rPr>
        <vertAlign val="superscript"/>
        <sz val="10"/>
        <rFont val="Times"/>
      </rPr>
      <t>2</t>
    </r>
    <r>
      <rPr>
        <sz val="10"/>
        <rFont val="Times"/>
      </rPr>
      <t xml:space="preserve"> that is used in the within-subjects test.</t>
    </r>
  </si>
  <si>
    <r>
      <t>est</t>
    </r>
    <r>
      <rPr>
        <sz val="10"/>
        <rFont val="Symbol"/>
      </rPr>
      <t>s</t>
    </r>
    <r>
      <rPr>
        <vertAlign val="superscript"/>
        <sz val="10"/>
        <rFont val="Symbol"/>
      </rPr>
      <t>2</t>
    </r>
    <r>
      <rPr>
        <vertAlign val="subscript"/>
        <sz val="10"/>
        <rFont val="Times"/>
      </rPr>
      <t>M1-M2</t>
    </r>
    <r>
      <rPr>
        <sz val="10"/>
        <rFont val="Times"/>
      </rPr>
      <t xml:space="preserve"> = </t>
    </r>
  </si>
  <si>
    <r>
      <t>est</t>
    </r>
    <r>
      <rPr>
        <sz val="10"/>
        <rFont val="Symbol"/>
      </rPr>
      <t>s</t>
    </r>
    <r>
      <rPr>
        <vertAlign val="subscript"/>
        <sz val="10"/>
        <rFont val="Times"/>
      </rPr>
      <t>M12-M2</t>
    </r>
    <r>
      <rPr>
        <sz val="10"/>
        <rFont val="Times"/>
      </rPr>
      <t xml:space="preserve"> = </t>
    </r>
  </si>
  <si>
    <r>
      <t>SS</t>
    </r>
    <r>
      <rPr>
        <vertAlign val="subscript"/>
        <sz val="10"/>
        <rFont val="Times"/>
      </rPr>
      <t>j</t>
    </r>
    <r>
      <rPr>
        <sz val="10"/>
        <rFont val="Times"/>
      </rPr>
      <t xml:space="preserve">: </t>
    </r>
  </si>
  <si>
    <t>NOTES: For your information...</t>
    <phoneticPr fontId="16" type="noConversion"/>
  </si>
  <si>
    <t>Blue cells provide the population parameters that were used to generate the data for each problem.</t>
    <phoneticPr fontId="16" type="noConversion"/>
  </si>
  <si>
    <t>Red cells provide the data themselves</t>
    <phoneticPr fontId="16" type="noConversion"/>
  </si>
  <si>
    <t>1</t>
    <phoneticPr fontId="16" type="noConversion"/>
  </si>
  <si>
    <r>
      <t>s</t>
    </r>
    <r>
      <rPr>
        <sz val="11"/>
        <color indexed="9"/>
        <rFont val="Times New Roman"/>
      </rPr>
      <t xml:space="preserve"> = </t>
    </r>
  </si>
  <si>
    <r>
      <t xml:space="preserve">Condition </t>
    </r>
    <r>
      <rPr>
        <sz val="11"/>
        <color indexed="9"/>
        <rFont val="Symbol"/>
      </rPr>
      <t>m</t>
    </r>
    <r>
      <rPr>
        <sz val="11"/>
        <color indexed="9"/>
        <rFont val="Times"/>
      </rPr>
      <t>'s</t>
    </r>
  </si>
  <si>
    <t>Condition 1</t>
    <phoneticPr fontId="16" type="noConversion"/>
  </si>
  <si>
    <t>Condition 2</t>
  </si>
  <si>
    <t>Condition 3</t>
    <phoneticPr fontId="16" type="noConversion"/>
  </si>
  <si>
    <t>Condition 4</t>
    <phoneticPr fontId="16" type="noConversion"/>
  </si>
  <si>
    <r>
      <t>n</t>
    </r>
    <r>
      <rPr>
        <vertAlign val="subscript"/>
        <sz val="11"/>
        <rFont val="Times New Roman"/>
      </rPr>
      <t>j</t>
    </r>
  </si>
  <si>
    <t>= N</t>
    <phoneticPr fontId="16" type="noConversion"/>
  </si>
  <si>
    <r>
      <t>df</t>
    </r>
    <r>
      <rPr>
        <vertAlign val="subscript"/>
        <sz val="11"/>
        <rFont val="Times New Roman"/>
      </rPr>
      <t>j</t>
    </r>
  </si>
  <si>
    <r>
      <t>T</t>
    </r>
    <r>
      <rPr>
        <vertAlign val="subscript"/>
        <sz val="11"/>
        <rFont val="Times New Roman"/>
      </rPr>
      <t>j</t>
    </r>
  </si>
  <si>
    <t>= T</t>
    <phoneticPr fontId="16" type="noConversion"/>
  </si>
  <si>
    <r>
      <t>M</t>
    </r>
    <r>
      <rPr>
        <vertAlign val="subscript"/>
        <sz val="11"/>
        <rFont val="Times New Roman"/>
      </rPr>
      <t>j</t>
    </r>
  </si>
  <si>
    <r>
      <t>S</t>
    </r>
    <r>
      <rPr>
        <sz val="11"/>
        <rFont val="Times New Roman"/>
      </rPr>
      <t>x</t>
    </r>
    <r>
      <rPr>
        <vertAlign val="subscript"/>
        <sz val="11"/>
        <rFont val="Times New Roman"/>
      </rPr>
      <t>ij</t>
    </r>
    <r>
      <rPr>
        <vertAlign val="superscript"/>
        <sz val="11"/>
        <rFont val="Times New Roman"/>
      </rPr>
      <t>2</t>
    </r>
  </si>
  <si>
    <r>
      <t>SS</t>
    </r>
    <r>
      <rPr>
        <vertAlign val="subscript"/>
        <sz val="11"/>
        <rFont val="Times New Roman"/>
      </rPr>
      <t>j</t>
    </r>
  </si>
  <si>
    <t>= SSW</t>
    <phoneticPr fontId="16" type="noConversion"/>
  </si>
  <si>
    <r>
      <t>est</t>
    </r>
    <r>
      <rPr>
        <vertAlign val="subscript"/>
        <sz val="11"/>
        <rFont val="Times New Roman"/>
      </rPr>
      <t>j</t>
    </r>
    <r>
      <rPr>
        <sz val="11"/>
        <rFont val="Symbol"/>
      </rPr>
      <t>s</t>
    </r>
    <r>
      <rPr>
        <vertAlign val="superscript"/>
        <sz val="11"/>
        <rFont val="Times New Roman"/>
      </rPr>
      <t>2</t>
    </r>
  </si>
  <si>
    <t>2</t>
    <phoneticPr fontId="16" type="noConversion"/>
  </si>
  <si>
    <t>Condition 1</t>
  </si>
  <si>
    <t>Condition 3</t>
  </si>
  <si>
    <t>Condition 4</t>
  </si>
  <si>
    <t>= N</t>
  </si>
  <si>
    <t>= dfW</t>
  </si>
  <si>
    <t>= T</t>
  </si>
  <si>
    <r>
      <t>T</t>
    </r>
    <r>
      <rPr>
        <vertAlign val="subscript"/>
        <sz val="11"/>
        <rFont val="Times New Roman"/>
      </rPr>
      <t>j</t>
    </r>
    <r>
      <rPr>
        <vertAlign val="superscript"/>
        <sz val="11"/>
        <rFont val="Times New Roman"/>
      </rPr>
      <t>2</t>
    </r>
    <r>
      <rPr>
        <sz val="11"/>
        <rFont val="Times New Roman"/>
      </rPr>
      <t>/n</t>
    </r>
    <r>
      <rPr>
        <vertAlign val="subscript"/>
        <sz val="11"/>
        <rFont val="Times New Roman"/>
      </rPr>
      <t>j</t>
    </r>
  </si>
  <si>
    <r>
      <t>=</t>
    </r>
    <r>
      <rPr>
        <sz val="11"/>
        <rFont val="Symbol"/>
      </rPr>
      <t xml:space="preserve"> S</t>
    </r>
    <r>
      <rPr>
        <sz val="11"/>
        <rFont val="Times New Roman"/>
      </rPr>
      <t>T</t>
    </r>
    <r>
      <rPr>
        <vertAlign val="subscript"/>
        <sz val="11"/>
        <rFont val="Times New Roman"/>
      </rPr>
      <t>j</t>
    </r>
    <r>
      <rPr>
        <vertAlign val="superscript"/>
        <sz val="11"/>
        <rFont val="Times New Roman"/>
      </rPr>
      <t>2</t>
    </r>
    <r>
      <rPr>
        <sz val="11"/>
        <rFont val="Times New Roman"/>
      </rPr>
      <t>/n</t>
    </r>
    <r>
      <rPr>
        <vertAlign val="subscript"/>
        <sz val="11"/>
        <rFont val="Times New Roman"/>
      </rPr>
      <t>j</t>
    </r>
  </si>
  <si>
    <t>= SSW</t>
  </si>
  <si>
    <t>N/A</t>
    <phoneticPr fontId="16" type="noConversion"/>
  </si>
  <si>
    <r>
      <t>“weight”: w</t>
    </r>
    <r>
      <rPr>
        <vertAlign val="subscript"/>
        <sz val="11"/>
        <rFont val="Times New Roman"/>
      </rPr>
      <t>j</t>
    </r>
  </si>
  <si>
    <t>= total weight (must be 1.0)</t>
    <phoneticPr fontId="16" type="noConversion"/>
  </si>
  <si>
    <t>a</t>
    <phoneticPr fontId="16" type="noConversion"/>
  </si>
  <si>
    <t>SSW =</t>
    <phoneticPr fontId="16" type="noConversion"/>
  </si>
  <si>
    <t xml:space="preserve">dfW = </t>
    <phoneticPr fontId="16" type="noConversion"/>
  </si>
  <si>
    <t>MSW =</t>
    <phoneticPr fontId="16" type="noConversion"/>
  </si>
  <si>
    <t>NOTE different Excel formulas provided by these three answers</t>
    <phoneticPr fontId="16" type="noConversion"/>
  </si>
  <si>
    <t xml:space="preserve">dfW = </t>
    <phoneticPr fontId="16" type="noConversion"/>
  </si>
  <si>
    <t>MSW =</t>
    <phoneticPr fontId="16" type="noConversion"/>
  </si>
  <si>
    <t xml:space="preserve">MSW = </t>
    <phoneticPr fontId="16" type="noConversion"/>
  </si>
  <si>
    <t>b</t>
    <phoneticPr fontId="16" type="noConversion"/>
  </si>
  <si>
    <r>
      <t>CI</t>
    </r>
    <r>
      <rPr>
        <vertAlign val="subscript"/>
        <sz val="11"/>
        <rFont val="Times New Roman"/>
      </rPr>
      <t>j</t>
    </r>
    <r>
      <rPr>
        <sz val="11"/>
        <rFont val="Times New Roman"/>
      </rPr>
      <t xml:space="preserve"> (HOV)</t>
    </r>
  </si>
  <si>
    <t xml:space="preserve">crit t: </t>
    <phoneticPr fontId="16" type="noConversion"/>
  </si>
  <si>
    <r>
      <t>est</t>
    </r>
    <r>
      <rPr>
        <sz val="11"/>
        <rFont val="Symbol"/>
      </rPr>
      <t>s</t>
    </r>
    <r>
      <rPr>
        <vertAlign val="subscript"/>
        <sz val="11"/>
        <rFont val="Times New Roman"/>
      </rPr>
      <t>Mj</t>
    </r>
    <r>
      <rPr>
        <sz val="11"/>
        <rFont val="Times New Roman"/>
      </rPr>
      <t xml:space="preserve">: </t>
    </r>
  </si>
  <si>
    <r>
      <t>CI</t>
    </r>
    <r>
      <rPr>
        <vertAlign val="subscript"/>
        <sz val="11"/>
        <rFont val="Times New Roman"/>
      </rPr>
      <t>j</t>
    </r>
    <r>
      <rPr>
        <sz val="11"/>
        <rFont val="Times New Roman"/>
      </rPr>
      <t xml:space="preserve"> (no HOV)</t>
    </r>
  </si>
  <si>
    <t>N/A</t>
    <phoneticPr fontId="16" type="noConversion"/>
  </si>
  <si>
    <t>N/A</t>
    <phoneticPr fontId="16" type="noConversion"/>
  </si>
  <si>
    <t>You can't compute the CI for Condition 1 without HOV because there are zero degrees of freedom from Condition 1.</t>
    <phoneticPr fontId="16" type="noConversion"/>
  </si>
  <si>
    <t>c</t>
    <phoneticPr fontId="16" type="noConversion"/>
  </si>
  <si>
    <t>ANOVA</t>
  </si>
  <si>
    <t>Source</t>
  </si>
  <si>
    <t>df</t>
  </si>
  <si>
    <t>SS</t>
  </si>
  <si>
    <t>MS</t>
  </si>
  <si>
    <t>Obt F</t>
  </si>
  <si>
    <t>Crit F</t>
  </si>
  <si>
    <t>Decision</t>
    <phoneticPr fontId="16" type="noConversion"/>
  </si>
  <si>
    <t>Between</t>
  </si>
  <si>
    <r>
      <t>Reject H</t>
    </r>
    <r>
      <rPr>
        <vertAlign val="subscript"/>
        <sz val="10"/>
        <rFont val="Times"/>
      </rPr>
      <t>0</t>
    </r>
  </si>
  <si>
    <t>Within</t>
  </si>
  <si>
    <t>Total</t>
  </si>
  <si>
    <t>d</t>
    <phoneticPr fontId="16" type="noConversion"/>
  </si>
  <si>
    <r>
      <t>est</t>
    </r>
    <r>
      <rPr>
        <sz val="11"/>
        <rFont val="Symbol"/>
      </rPr>
      <t>s</t>
    </r>
    <r>
      <rPr>
        <vertAlign val="superscript"/>
        <sz val="11"/>
        <rFont val="Times New Roman"/>
      </rPr>
      <t>2</t>
    </r>
    <r>
      <rPr>
        <sz val="11"/>
        <rFont val="Times New Roman"/>
      </rPr>
      <t xml:space="preserve"> (Group 3):</t>
    </r>
  </si>
  <si>
    <t xml:space="preserve">df = </t>
    <phoneticPr fontId="16" type="noConversion"/>
  </si>
  <si>
    <r>
      <t>est</t>
    </r>
    <r>
      <rPr>
        <sz val="11"/>
        <rFont val="Symbol"/>
      </rPr>
      <t>s</t>
    </r>
    <r>
      <rPr>
        <vertAlign val="superscript"/>
        <sz val="11"/>
        <rFont val="Times New Roman"/>
      </rPr>
      <t>2</t>
    </r>
    <r>
      <rPr>
        <sz val="11"/>
        <rFont val="Times New Roman"/>
      </rPr>
      <t xml:space="preserve"> (Groups 2, 4):</t>
    </r>
  </si>
  <si>
    <t xml:space="preserve">Obtained F(2,19) = </t>
    <phoneticPr fontId="16" type="noConversion"/>
  </si>
  <si>
    <t xml:space="preserve">Criterion F(2,19) = </t>
    <phoneticPr fontId="16" type="noConversion"/>
  </si>
  <si>
    <r>
      <t>Don't Reject H</t>
    </r>
    <r>
      <rPr>
        <vertAlign val="subscript"/>
        <sz val="10"/>
        <rFont val="Times"/>
      </rPr>
      <t>0</t>
    </r>
  </si>
  <si>
    <t>e</t>
    <phoneticPr fontId="16" type="noConversion"/>
  </si>
  <si>
    <r>
      <t>s</t>
    </r>
    <r>
      <rPr>
        <vertAlign val="superscript"/>
        <sz val="11"/>
        <rFont val="Times New Roman"/>
      </rPr>
      <t>2</t>
    </r>
    <r>
      <rPr>
        <sz val="11"/>
        <rFont val="Times New Roman"/>
      </rPr>
      <t xml:space="preserve"> (Group 1):</t>
    </r>
  </si>
  <si>
    <t>∞</t>
  </si>
  <si>
    <t xml:space="preserve">Obtained F(2,∞) = </t>
    <phoneticPr fontId="16" type="noConversion"/>
  </si>
  <si>
    <t xml:space="preserve">Criterion F(2,∞) = </t>
    <phoneticPr fontId="16" type="noConversion"/>
  </si>
  <si>
    <t>3</t>
    <phoneticPr fontId="16" type="noConversion"/>
  </si>
  <si>
    <t>Original Experiment</t>
    <phoneticPr fontId="16" type="noConversion"/>
  </si>
  <si>
    <t xml:space="preserve">J = </t>
    <phoneticPr fontId="16" type="noConversion"/>
  </si>
  <si>
    <t xml:space="preserve">n = </t>
    <phoneticPr fontId="16" type="noConversion"/>
  </si>
  <si>
    <t xml:space="preserve">CI = </t>
    <phoneticPr fontId="16" type="noConversion"/>
  </si>
  <si>
    <t xml:space="preserve">crit t(168) = </t>
    <phoneticPr fontId="16" type="noConversion"/>
  </si>
  <si>
    <r>
      <t xml:space="preserve">est </t>
    </r>
    <r>
      <rPr>
        <sz val="10"/>
        <rFont val="Symbol"/>
      </rPr>
      <t>s</t>
    </r>
    <r>
      <rPr>
        <vertAlign val="subscript"/>
        <sz val="10"/>
        <rFont val="Times"/>
      </rPr>
      <t>M</t>
    </r>
    <r>
      <rPr>
        <sz val="10"/>
        <rFont val="Times"/>
      </rPr>
      <t xml:space="preserve"> = </t>
    </r>
  </si>
  <si>
    <r>
      <t xml:space="preserve">est </t>
    </r>
    <r>
      <rPr>
        <sz val="10"/>
        <rFont val="Symbol"/>
      </rPr>
      <t>s</t>
    </r>
    <r>
      <rPr>
        <vertAlign val="superscript"/>
        <sz val="10"/>
        <rFont val="Times"/>
      </rPr>
      <t>2</t>
    </r>
    <r>
      <rPr>
        <sz val="10"/>
        <rFont val="Times"/>
      </rPr>
      <t xml:space="preserve"> = MSW = </t>
    </r>
  </si>
  <si>
    <t>New Experiment</t>
    <phoneticPr fontId="16" type="noConversion"/>
  </si>
  <si>
    <r>
      <t xml:space="preserve">est </t>
    </r>
    <r>
      <rPr>
        <sz val="10"/>
        <rFont val="Symbol"/>
      </rPr>
      <t>s</t>
    </r>
    <r>
      <rPr>
        <vertAlign val="superscript"/>
        <sz val="10"/>
        <rFont val="Times"/>
      </rPr>
      <t>2</t>
    </r>
    <r>
      <rPr>
        <sz val="10"/>
        <rFont val="Times"/>
      </rPr>
      <t xml:space="preserve"> (best guess) = </t>
    </r>
  </si>
  <si>
    <r>
      <t xml:space="preserve">est </t>
    </r>
    <r>
      <rPr>
        <sz val="10"/>
        <rFont val="Symbol"/>
      </rPr>
      <t>s</t>
    </r>
    <r>
      <rPr>
        <vertAlign val="subscript"/>
        <sz val="10"/>
        <rFont val="Times"/>
      </rPr>
      <t>M</t>
    </r>
    <r>
      <rPr>
        <sz val="10"/>
        <rFont val="Times"/>
      </rPr>
      <t xml:space="preserve"> (best guess) = </t>
    </r>
  </si>
  <si>
    <t xml:space="preserve">crit t(28) = </t>
    <phoneticPr fontId="16" type="noConversion"/>
  </si>
  <si>
    <r>
      <t>CI</t>
    </r>
    <r>
      <rPr>
        <vertAlign val="subscript"/>
        <sz val="11"/>
        <rFont val="Times New Roman"/>
      </rPr>
      <t>j</t>
    </r>
  </si>
  <si>
    <r>
      <t>S</t>
    </r>
    <r>
      <rPr>
        <sz val="10"/>
        <rFont val="Times"/>
      </rPr>
      <t>x</t>
    </r>
    <r>
      <rPr>
        <vertAlign val="subscript"/>
        <sz val="11"/>
        <rFont val="Times"/>
      </rPr>
      <t>ijk</t>
    </r>
    <r>
      <rPr>
        <vertAlign val="superscript"/>
        <sz val="11"/>
        <rFont val="Times"/>
      </rPr>
      <t>2</t>
    </r>
    <r>
      <rPr>
        <sz val="10"/>
        <rFont val="Times"/>
      </rPr>
      <t>'s</t>
    </r>
  </si>
  <si>
    <t>Standard</t>
  </si>
  <si>
    <t>Technique A</t>
  </si>
  <si>
    <t>Technique B</t>
  </si>
  <si>
    <t>Technique C</t>
  </si>
  <si>
    <t>Grade 2</t>
    <phoneticPr fontId="17" type="noConversion"/>
  </si>
  <si>
    <t>Grade 10</t>
    <phoneticPr fontId="17" type="noConversion"/>
  </si>
  <si>
    <r>
      <t>T</t>
    </r>
    <r>
      <rPr>
        <vertAlign val="subscript"/>
        <sz val="11"/>
        <rFont val="Times"/>
      </rPr>
      <t>jk</t>
    </r>
    <r>
      <rPr>
        <sz val="10"/>
        <rFont val="Times"/>
      </rPr>
      <t>'s</t>
    </r>
  </si>
  <si>
    <r>
      <t>T</t>
    </r>
    <r>
      <rPr>
        <vertAlign val="subscript"/>
        <sz val="10"/>
        <rFont val="Times"/>
      </rPr>
      <t>Rk</t>
    </r>
  </si>
  <si>
    <r>
      <t>M</t>
    </r>
    <r>
      <rPr>
        <vertAlign val="subscript"/>
        <sz val="11"/>
        <rFont val="Times"/>
      </rPr>
      <t>jk</t>
    </r>
    <r>
      <rPr>
        <sz val="10"/>
        <rFont val="Times"/>
      </rPr>
      <t>'s</t>
    </r>
  </si>
  <si>
    <r>
      <t>M</t>
    </r>
    <r>
      <rPr>
        <vertAlign val="subscript"/>
        <sz val="10"/>
        <rFont val="Times"/>
      </rPr>
      <t>Rk</t>
    </r>
  </si>
  <si>
    <r>
      <t>M</t>
    </r>
    <r>
      <rPr>
        <vertAlign val="subscript"/>
        <sz val="10"/>
        <rFont val="Times"/>
      </rPr>
      <t>Cj</t>
    </r>
  </si>
  <si>
    <r>
      <t>est</t>
    </r>
    <r>
      <rPr>
        <vertAlign val="subscript"/>
        <sz val="10"/>
        <rFont val="Times"/>
      </rPr>
      <t>jk</t>
    </r>
    <r>
      <rPr>
        <sz val="10"/>
        <rFont val="Symbol"/>
      </rPr>
      <t>s</t>
    </r>
    <r>
      <rPr>
        <vertAlign val="superscript"/>
        <sz val="10"/>
        <rFont val="Times"/>
      </rPr>
      <t>2</t>
    </r>
    <r>
      <rPr>
        <sz val="10"/>
        <rFont val="Times"/>
      </rPr>
      <t>'s</t>
    </r>
  </si>
  <si>
    <r>
      <t>= mean est</t>
    </r>
    <r>
      <rPr>
        <vertAlign val="subscript"/>
        <sz val="10"/>
        <rFont val="Times"/>
      </rPr>
      <t>jk</t>
    </r>
    <r>
      <rPr>
        <sz val="10"/>
        <rFont val="Symbol"/>
      </rPr>
      <t>s</t>
    </r>
    <r>
      <rPr>
        <vertAlign val="superscript"/>
        <sz val="10"/>
        <rFont val="Times"/>
      </rPr>
      <t>2</t>
    </r>
    <r>
      <rPr>
        <sz val="10"/>
        <rFont val="Times"/>
      </rPr>
      <t xml:space="preserve"> AKA "MSW"</t>
    </r>
  </si>
  <si>
    <r>
      <t>T</t>
    </r>
    <r>
      <rPr>
        <vertAlign val="superscript"/>
        <sz val="10"/>
        <rFont val="Times"/>
      </rPr>
      <t>2</t>
    </r>
    <r>
      <rPr>
        <sz val="10"/>
        <rFont val="Times"/>
      </rPr>
      <t>/N =</t>
    </r>
  </si>
  <si>
    <t>n =</t>
    <phoneticPr fontId="17" type="noConversion"/>
  </si>
  <si>
    <t>N =</t>
    <phoneticPr fontId="17" type="noConversion"/>
  </si>
  <si>
    <t>J =</t>
    <phoneticPr fontId="17" type="noConversion"/>
  </si>
  <si>
    <r>
      <t>n</t>
    </r>
    <r>
      <rPr>
        <vertAlign val="subscript"/>
        <sz val="10"/>
        <rFont val="Times"/>
      </rPr>
      <t>C</t>
    </r>
    <r>
      <rPr>
        <sz val="10"/>
        <rFont val="Times"/>
      </rPr>
      <t xml:space="preserve"> =</t>
    </r>
  </si>
  <si>
    <r>
      <t>n</t>
    </r>
    <r>
      <rPr>
        <vertAlign val="subscript"/>
        <sz val="10"/>
        <rFont val="Times"/>
      </rPr>
      <t>R</t>
    </r>
    <r>
      <rPr>
        <sz val="10"/>
        <rFont val="Times"/>
      </rPr>
      <t xml:space="preserve"> =</t>
    </r>
  </si>
  <si>
    <r>
      <t>SSS</t>
    </r>
    <r>
      <rPr>
        <sz val="10"/>
        <rFont val="Times"/>
      </rPr>
      <t>x</t>
    </r>
    <r>
      <rPr>
        <vertAlign val="subscript"/>
        <sz val="11"/>
        <rFont val="Times"/>
      </rPr>
      <t>ijk</t>
    </r>
    <r>
      <rPr>
        <vertAlign val="superscript"/>
        <sz val="10"/>
        <rFont val="Times"/>
      </rPr>
      <t>2</t>
    </r>
    <r>
      <rPr>
        <sz val="10"/>
        <rFont val="Times"/>
      </rPr>
      <t xml:space="preserve"> =</t>
    </r>
  </si>
  <si>
    <r>
      <t>SS</t>
    </r>
    <r>
      <rPr>
        <sz val="10"/>
        <rFont val="Times"/>
      </rPr>
      <t>T</t>
    </r>
    <r>
      <rPr>
        <vertAlign val="subscript"/>
        <sz val="11"/>
        <rFont val="Times"/>
      </rPr>
      <t>jk</t>
    </r>
    <r>
      <rPr>
        <vertAlign val="superscript"/>
        <sz val="11"/>
        <rFont val="Times"/>
      </rPr>
      <t>2</t>
    </r>
    <r>
      <rPr>
        <sz val="10"/>
        <rFont val="Times"/>
      </rPr>
      <t xml:space="preserve"> =</t>
    </r>
  </si>
  <si>
    <r>
      <t>S</t>
    </r>
    <r>
      <rPr>
        <sz val="10"/>
        <rFont val="Times"/>
      </rPr>
      <t>T</t>
    </r>
    <r>
      <rPr>
        <vertAlign val="subscript"/>
        <sz val="10"/>
        <rFont val="Times"/>
      </rPr>
      <t>Cj</t>
    </r>
    <r>
      <rPr>
        <vertAlign val="superscript"/>
        <sz val="10"/>
        <rFont val="Times"/>
      </rPr>
      <t>2</t>
    </r>
    <r>
      <rPr>
        <sz val="10"/>
        <rFont val="Times"/>
      </rPr>
      <t xml:space="preserve"> = </t>
    </r>
  </si>
  <si>
    <r>
      <t>S</t>
    </r>
    <r>
      <rPr>
        <sz val="10"/>
        <rFont val="Times"/>
      </rPr>
      <t>T</t>
    </r>
    <r>
      <rPr>
        <vertAlign val="subscript"/>
        <sz val="10"/>
        <rFont val="Times"/>
      </rPr>
      <t>Rk</t>
    </r>
    <r>
      <rPr>
        <vertAlign val="superscript"/>
        <sz val="10"/>
        <rFont val="Times"/>
      </rPr>
      <t>2</t>
    </r>
    <r>
      <rPr>
        <sz val="10"/>
        <rFont val="Times"/>
      </rPr>
      <t xml:space="preserve"> =</t>
    </r>
  </si>
  <si>
    <r>
      <t>T</t>
    </r>
    <r>
      <rPr>
        <vertAlign val="superscript"/>
        <sz val="11"/>
        <rFont val="Times"/>
      </rPr>
      <t>2</t>
    </r>
    <r>
      <rPr>
        <sz val="10"/>
        <rFont val="Times"/>
      </rPr>
      <t xml:space="preserve"> = </t>
    </r>
  </si>
  <si>
    <t>a)</t>
    <phoneticPr fontId="17" type="noConversion"/>
  </si>
  <si>
    <t>b)</t>
    <phoneticPr fontId="17" type="noConversion"/>
  </si>
  <si>
    <t>ANOVA</t>
    <phoneticPr fontId="17" type="noConversion"/>
  </si>
  <si>
    <t>Columns</t>
    <phoneticPr fontId="17" type="noConversion"/>
  </si>
  <si>
    <t>Rows</t>
    <phoneticPr fontId="17" type="noConversion"/>
  </si>
  <si>
    <t>Interaction</t>
    <phoneticPr fontId="17" type="noConversion"/>
  </si>
  <si>
    <t>Within</t>
    <phoneticPr fontId="17" type="noConversion"/>
  </si>
  <si>
    <t>Total</t>
    <phoneticPr fontId="17" type="noConversion"/>
  </si>
  <si>
    <t>Percent confidence:</t>
    <phoneticPr fontId="17" type="noConversion"/>
  </si>
  <si>
    <r>
      <t>Around M</t>
    </r>
    <r>
      <rPr>
        <vertAlign val="subscript"/>
        <sz val="10"/>
        <rFont val="Times"/>
      </rPr>
      <t>ij</t>
    </r>
    <r>
      <rPr>
        <sz val="10"/>
        <rFont val="Times"/>
      </rPr>
      <t xml:space="preserve">, </t>
    </r>
    <r>
      <rPr>
        <sz val="10"/>
        <rFont val="Times"/>
      </rPr>
      <t>each cell mean</t>
    </r>
  </si>
  <si>
    <r>
      <t>Around M</t>
    </r>
    <r>
      <rPr>
        <vertAlign val="subscript"/>
        <sz val="10"/>
        <rFont val="Times"/>
      </rPr>
      <t>Rk</t>
    </r>
    <r>
      <rPr>
        <sz val="10"/>
        <rFont val="Times"/>
      </rPr>
      <t>, each row mean</t>
    </r>
  </si>
  <si>
    <t>criterion t:</t>
    <phoneticPr fontId="17" type="noConversion"/>
  </si>
  <si>
    <t>CI magnitude:</t>
    <phoneticPr fontId="17" type="noConversion"/>
  </si>
  <si>
    <r>
      <t>Around M</t>
    </r>
    <r>
      <rPr>
        <vertAlign val="subscript"/>
        <sz val="10"/>
        <rFont val="Times"/>
      </rPr>
      <t>Cj</t>
    </r>
    <r>
      <rPr>
        <sz val="10"/>
        <rFont val="Times"/>
      </rPr>
      <t xml:space="preserve">, </t>
    </r>
    <r>
      <rPr>
        <sz val="10"/>
        <rFont val="Times"/>
      </rPr>
      <t>each column mean</t>
    </r>
  </si>
  <si>
    <t xml:space="preserve">dfB = </t>
    <phoneticPr fontId="17" type="noConversion"/>
  </si>
  <si>
    <t xml:space="preserve">dfW = </t>
    <phoneticPr fontId="17" type="noConversion"/>
  </si>
  <si>
    <t>Reject H0</t>
    <phoneticPr fontId="17" type="noConversion"/>
  </si>
  <si>
    <t>(computed from the four cells of the Grade-2 row)</t>
    <phoneticPr fontId="17" type="noConversion"/>
  </si>
  <si>
    <t>(in three cells of the Grade-2 row)</t>
    <phoneticPr fontId="17" type="noConversion"/>
  </si>
  <si>
    <r>
      <t>Around M</t>
    </r>
    <r>
      <rPr>
        <vertAlign val="subscript"/>
        <sz val="10"/>
        <rFont val="Times"/>
      </rPr>
      <t>Rk</t>
    </r>
    <r>
      <rPr>
        <sz val="10"/>
        <rFont val="Times"/>
      </rPr>
      <t xml:space="preserve">, </t>
    </r>
    <r>
      <rPr>
        <sz val="10"/>
        <rFont val="Times"/>
      </rPr>
      <t>each row mean</t>
    </r>
  </si>
  <si>
    <t>relevant SE:</t>
    <phoneticPr fontId="17" type="noConversion"/>
  </si>
  <si>
    <t xml:space="preserve">Conclusion: </t>
    <phoneticPr fontId="17" type="noConversion"/>
  </si>
  <si>
    <t xml:space="preserve">Criterion F = </t>
    <phoneticPr fontId="17" type="noConversion"/>
  </si>
  <si>
    <t xml:space="preserve">SSB = </t>
    <phoneticPr fontId="17" type="noConversion"/>
  </si>
  <si>
    <t>(from ANOVA table)</t>
    <phoneticPr fontId="17" type="noConversion"/>
  </si>
  <si>
    <t>Between</t>
    <phoneticPr fontId="17" type="noConversion"/>
  </si>
  <si>
    <t>Sum of squared things</t>
    <phoneticPr fontId="17" type="noConversion"/>
  </si>
  <si>
    <t>K =</t>
    <phoneticPr fontId="17" type="noConversion"/>
  </si>
  <si>
    <t>= M</t>
    <phoneticPr fontId="17" type="noConversion"/>
  </si>
  <si>
    <t>= T</t>
    <phoneticPr fontId="17" type="noConversion"/>
  </si>
  <si>
    <t>e</t>
  </si>
  <si>
    <t>d</t>
    <phoneticPr fontId="17" type="noConversion"/>
  </si>
  <si>
    <t>f)</t>
    <phoneticPr fontId="17" type="noConversion"/>
  </si>
  <si>
    <t xml:space="preserve">Obtained F = </t>
    <phoneticPr fontId="17" type="noConversion"/>
  </si>
  <si>
    <t>MSW =</t>
    <phoneticPr fontId="17" type="noConversion"/>
  </si>
  <si>
    <t xml:space="preserve">SSW = </t>
    <phoneticPr fontId="17" type="noConversion"/>
  </si>
  <si>
    <t xml:space="preserve">MSB = </t>
    <phoneticPr fontId="17" type="noConversion"/>
  </si>
  <si>
    <t>For Grade-2 cells only (assume HOV only within Grade-2 row)</t>
    <phoneticPr fontId="17" type="noConversion"/>
  </si>
  <si>
    <t>e)</t>
    <phoneticPr fontId="17" type="noConversion"/>
  </si>
  <si>
    <t>For Grade-2 cells only (assume HOV throughout)</t>
    <phoneticPr fontId="17" type="noConversion"/>
  </si>
  <si>
    <t>d)</t>
    <phoneticPr fontId="17" type="noConversion"/>
  </si>
  <si>
    <t>Around M, the grand mean</t>
    <phoneticPr fontId="17" type="noConversion"/>
  </si>
  <si>
    <t>CONFIDENCE INTERVALS</t>
    <phoneticPr fontId="17" type="noConversion"/>
  </si>
  <si>
    <t>c)</t>
    <phoneticPr fontId="17" type="noConversion"/>
  </si>
  <si>
    <t>Decision</t>
    <phoneticPr fontId="17" type="noConversion"/>
  </si>
  <si>
    <t>Crit F</t>
    <phoneticPr fontId="17" type="noConversion"/>
  </si>
  <si>
    <t>Obt F</t>
    <phoneticPr fontId="17" type="noConversion"/>
  </si>
  <si>
    <t>MS</t>
    <phoneticPr fontId="17" type="noConversion"/>
  </si>
  <si>
    <t>SS</t>
    <phoneticPr fontId="17" type="noConversion"/>
  </si>
  <si>
    <t>df</t>
    <phoneticPr fontId="17" type="noConversion"/>
  </si>
  <si>
    <t>Source</t>
    <phoneticPr fontId="17" type="noConversion"/>
  </si>
  <si>
    <t>Grade 6</t>
    <phoneticPr fontId="17" type="noConversion"/>
  </si>
  <si>
    <t>Teaching Method</t>
    <phoneticPr fontId="17" type="noConversion"/>
  </si>
  <si>
    <t>1</t>
    <phoneticPr fontId="17" type="noConversion"/>
  </si>
  <si>
    <r>
      <t>T</t>
    </r>
    <r>
      <rPr>
        <vertAlign val="subscript"/>
        <sz val="10"/>
        <rFont val="Times"/>
      </rPr>
      <t xml:space="preserve">Cj </t>
    </r>
  </si>
  <si>
    <t>SSC = 0; SSR = 0; SSI &gt; 0</t>
  </si>
  <si>
    <t>a</t>
  </si>
  <si>
    <t>SSC = 0; SSR &gt; 0; SSI = 0</t>
  </si>
  <si>
    <t>SSC = 0; SSR = 0; SSI = 0</t>
  </si>
  <si>
    <t>SSC &gt; 0; SSR = 0; SSI = 0</t>
  </si>
  <si>
    <t>SSC &gt; 0; SSR &gt; 0; SSI &gt; 0</t>
  </si>
  <si>
    <t>2</t>
  </si>
  <si>
    <t>Techniques A, B, and C all are about the same: with any of them it is better to start Spanish earlier than later. The Standard Technique results in poorer performance than Techniques A, B, and C; also, with the Standard Technique, it doesn't matter what grade you start at.</t>
  </si>
  <si>
    <t>Level 1</t>
  </si>
  <si>
    <t>Level 2</t>
  </si>
  <si>
    <t>Factor 1 Level</t>
  </si>
  <si>
    <t>Factor 2 Level</t>
  </si>
  <si>
    <t>Subject</t>
  </si>
  <si>
    <t>Data</t>
    <phoneticPr fontId="17" type="noConversion"/>
  </si>
  <si>
    <r>
      <t>X</t>
    </r>
    <r>
      <rPr>
        <vertAlign val="subscript"/>
        <sz val="11"/>
        <rFont val="Times New Roman"/>
      </rPr>
      <t>1j1</t>
    </r>
  </si>
  <si>
    <r>
      <t>X</t>
    </r>
    <r>
      <rPr>
        <vertAlign val="subscript"/>
        <sz val="11"/>
        <rFont val="Times New Roman"/>
      </rPr>
      <t>2j1</t>
    </r>
  </si>
  <si>
    <r>
      <t>M</t>
    </r>
    <r>
      <rPr>
        <vertAlign val="subscript"/>
        <sz val="11"/>
        <rFont val="Times New Roman"/>
      </rPr>
      <t>j1</t>
    </r>
  </si>
  <si>
    <r>
      <t>= M</t>
    </r>
    <r>
      <rPr>
        <vertAlign val="subscript"/>
        <sz val="11"/>
        <rFont val="Times New Roman"/>
      </rPr>
      <t>R1</t>
    </r>
  </si>
  <si>
    <r>
      <t>X</t>
    </r>
    <r>
      <rPr>
        <vertAlign val="subscript"/>
        <sz val="11"/>
        <rFont val="Times New Roman"/>
      </rPr>
      <t>1j2</t>
    </r>
  </si>
  <si>
    <r>
      <t>X</t>
    </r>
    <r>
      <rPr>
        <vertAlign val="subscript"/>
        <sz val="11"/>
        <rFont val="Times New Roman"/>
      </rPr>
      <t>2j2</t>
    </r>
  </si>
  <si>
    <r>
      <t>M</t>
    </r>
    <r>
      <rPr>
        <vertAlign val="subscript"/>
        <sz val="11"/>
        <rFont val="Times New Roman"/>
      </rPr>
      <t>j2</t>
    </r>
  </si>
  <si>
    <r>
      <t>= M</t>
    </r>
    <r>
      <rPr>
        <vertAlign val="subscript"/>
        <sz val="11"/>
        <rFont val="Times New Roman"/>
      </rPr>
      <t>R2</t>
    </r>
  </si>
  <si>
    <r>
      <t>X</t>
    </r>
    <r>
      <rPr>
        <vertAlign val="subscript"/>
        <sz val="11"/>
        <rFont val="Times New Roman"/>
      </rPr>
      <t>1j3</t>
    </r>
  </si>
  <si>
    <r>
      <t>X</t>
    </r>
    <r>
      <rPr>
        <vertAlign val="subscript"/>
        <sz val="11"/>
        <rFont val="Times New Roman"/>
      </rPr>
      <t>2j3</t>
    </r>
  </si>
  <si>
    <r>
      <t>M</t>
    </r>
    <r>
      <rPr>
        <vertAlign val="subscript"/>
        <sz val="11"/>
        <rFont val="Times New Roman"/>
      </rPr>
      <t>j3</t>
    </r>
  </si>
  <si>
    <r>
      <t>= M</t>
    </r>
    <r>
      <rPr>
        <vertAlign val="subscript"/>
        <sz val="11"/>
        <rFont val="Times New Roman"/>
      </rPr>
      <t>R3</t>
    </r>
  </si>
  <si>
    <r>
      <t>M</t>
    </r>
    <r>
      <rPr>
        <vertAlign val="subscript"/>
        <sz val="11"/>
        <rFont val="Times New Roman"/>
      </rPr>
      <t>C1</t>
    </r>
  </si>
  <si>
    <r>
      <t>M</t>
    </r>
    <r>
      <rPr>
        <vertAlign val="subscript"/>
        <sz val="11"/>
        <rFont val="Times New Roman"/>
      </rPr>
      <t>C2</t>
    </r>
  </si>
  <si>
    <r>
      <t>M</t>
    </r>
    <r>
      <rPr>
        <vertAlign val="subscript"/>
        <sz val="11"/>
        <rFont val="Times New Roman"/>
      </rPr>
      <t>C3</t>
    </r>
  </si>
  <si>
    <t>2</t>
    <phoneticPr fontId="17" type="noConversion"/>
  </si>
  <si>
    <t>n</t>
    <phoneticPr fontId="17" type="noConversion"/>
  </si>
  <si>
    <t>J</t>
    <phoneticPr fontId="17" type="noConversion"/>
  </si>
  <si>
    <t>K</t>
    <phoneticPr fontId="17" type="noConversion"/>
  </si>
  <si>
    <t>a</t>
    <phoneticPr fontId="17" type="noConversion"/>
  </si>
  <si>
    <r>
      <t>n</t>
    </r>
    <r>
      <rPr>
        <vertAlign val="subscript"/>
        <sz val="10"/>
        <rFont val="Times"/>
      </rPr>
      <t>R</t>
    </r>
    <r>
      <rPr>
        <sz val="10"/>
        <rFont val="Times"/>
      </rPr>
      <t xml:space="preserve"> = </t>
    </r>
  </si>
  <si>
    <t xml:space="preserve">N = </t>
    <phoneticPr fontId="17" type="noConversion"/>
  </si>
  <si>
    <t>City</t>
  </si>
  <si>
    <t>Suburbs</t>
  </si>
  <si>
    <t>Country</t>
  </si>
  <si>
    <r>
      <t>M</t>
    </r>
    <r>
      <rPr>
        <sz val="8"/>
        <rFont val="Times New Roman"/>
      </rPr>
      <t xml:space="preserve">j = </t>
    </r>
  </si>
  <si>
    <r>
      <t>T</t>
    </r>
    <r>
      <rPr>
        <sz val="8"/>
        <rFont val="Times New Roman"/>
      </rPr>
      <t xml:space="preserve">j = </t>
    </r>
  </si>
  <si>
    <t xml:space="preserve"> = T</t>
    <phoneticPr fontId="17" type="noConversion"/>
  </si>
  <si>
    <t xml:space="preserve"> = N</t>
    <phoneticPr fontId="17" type="noConversion"/>
  </si>
  <si>
    <r>
      <t xml:space="preserve"> = T</t>
    </r>
    <r>
      <rPr>
        <vertAlign val="superscript"/>
        <sz val="11"/>
        <rFont val="Times"/>
      </rPr>
      <t>2</t>
    </r>
    <r>
      <rPr>
        <sz val="10"/>
        <rFont val="Times"/>
      </rPr>
      <t>/N</t>
    </r>
  </si>
  <si>
    <t>a</t>
    <phoneticPr fontId="17" type="noConversion"/>
  </si>
  <si>
    <t>ANOVA</t>
    <phoneticPr fontId="17" type="noConversion"/>
  </si>
  <si>
    <t>Source</t>
    <phoneticPr fontId="17" type="noConversion"/>
  </si>
  <si>
    <t>SS</t>
    <phoneticPr fontId="17" type="noConversion"/>
  </si>
  <si>
    <t>Obt F (random)</t>
    <phoneticPr fontId="17" type="noConversion"/>
  </si>
  <si>
    <t>Crit F (random)</t>
    <phoneticPr fontId="17" type="noConversion"/>
  </si>
  <si>
    <t>Decision (random)</t>
    <phoneticPr fontId="17" type="noConversion"/>
  </si>
  <si>
    <t>Obt F (fixed)</t>
    <phoneticPr fontId="17" type="noConversion"/>
  </si>
  <si>
    <t>Crit F (fixed)</t>
    <phoneticPr fontId="17" type="noConversion"/>
  </si>
  <si>
    <t>Decision (fixed)</t>
    <phoneticPr fontId="17" type="noConversion"/>
  </si>
  <si>
    <t>Between</t>
    <phoneticPr fontId="17" type="noConversion"/>
  </si>
  <si>
    <t>Columns</t>
    <phoneticPr fontId="17" type="noConversion"/>
  </si>
  <si>
    <t>Rows</t>
    <phoneticPr fontId="17" type="noConversion"/>
  </si>
  <si>
    <t>C x R</t>
    <phoneticPr fontId="17" type="noConversion"/>
  </si>
  <si>
    <t>Within</t>
    <phoneticPr fontId="17" type="noConversion"/>
  </si>
  <si>
    <t>Total</t>
    <phoneticPr fontId="17" type="noConversion"/>
  </si>
  <si>
    <t>b</t>
    <phoneticPr fontId="17" type="noConversion"/>
  </si>
  <si>
    <t xml:space="preserve">Percent conf: </t>
    <phoneticPr fontId="17" type="noConversion"/>
  </si>
  <si>
    <t xml:space="preserve">relevant SE: </t>
    <phoneticPr fontId="17" type="noConversion"/>
  </si>
  <si>
    <t xml:space="preserve">criterion t: </t>
    <phoneticPr fontId="17" type="noConversion"/>
  </si>
  <si>
    <t xml:space="preserve">CI magnitude: </t>
    <phoneticPr fontId="17" type="noConversion"/>
  </si>
  <si>
    <t>3</t>
    <phoneticPr fontId="17" type="noConversion"/>
  </si>
  <si>
    <t xml:space="preserve">Each score is the mean of n = </t>
    <phoneticPr fontId="17" type="noConversion"/>
  </si>
  <si>
    <t>observations per subject per condition</t>
    <phoneticPr fontId="17" type="noConversion"/>
  </si>
  <si>
    <t xml:space="preserve">Therefore the design is simply J = 4 (conditions) x K = </t>
    <phoneticPr fontId="17" type="noConversion"/>
  </si>
  <si>
    <t>(cars) with one observation per cell.</t>
    <phoneticPr fontId="17" type="noConversion"/>
  </si>
  <si>
    <t>Obt F</t>
    <phoneticPr fontId="17" type="noConversion"/>
  </si>
  <si>
    <t>Crit F</t>
    <phoneticPr fontId="17" type="noConversion"/>
  </si>
  <si>
    <t>Decision</t>
    <phoneticPr fontId="17" type="noConversion"/>
  </si>
  <si>
    <t>c</t>
    <phoneticPr fontId="17" type="noConversion"/>
  </si>
  <si>
    <t xml:space="preserve">relevant SS: </t>
    <phoneticPr fontId="17" type="noConversion"/>
  </si>
  <si>
    <t xml:space="preserve">relevant df: </t>
    <phoneticPr fontId="17" type="noConversion"/>
  </si>
  <si>
    <t xml:space="preserve">relevant MS: </t>
    <phoneticPr fontId="17" type="noConversion"/>
  </si>
  <si>
    <t xml:space="preserve">relevant "n":  </t>
    <phoneticPr fontId="17" type="noConversion"/>
  </si>
  <si>
    <t>4</t>
    <phoneticPr fontId="17" type="noConversion"/>
  </si>
  <si>
    <t>X = Churches (Hundreds)</t>
    <phoneticPr fontId="17" type="noConversion"/>
  </si>
  <si>
    <t>Y = GLBT (thousands)</t>
    <phoneticPr fontId="17" type="noConversion"/>
  </si>
  <si>
    <t>City Population (thousands)</t>
    <phoneticPr fontId="17" type="noConversion"/>
  </si>
  <si>
    <t>Y' = predicted GLBT</t>
    <phoneticPr fontId="17" type="noConversion"/>
  </si>
  <si>
    <t>(Y - Y') = error</t>
    <phoneticPr fontId="17" type="noConversion"/>
  </si>
  <si>
    <t>Z = GLBT per thousand people</t>
    <phoneticPr fontId="17" type="noConversion"/>
  </si>
  <si>
    <t>Boston</t>
  </si>
  <si>
    <t>Seattle</t>
  </si>
  <si>
    <t>San Francisco</t>
  </si>
  <si>
    <t>San Jose</t>
  </si>
  <si>
    <t>Dallas</t>
  </si>
  <si>
    <t>San Diego</t>
  </si>
  <si>
    <t>Phoenix</t>
  </si>
  <si>
    <t>Philadelphia</t>
  </si>
  <si>
    <t>Houston</t>
  </si>
  <si>
    <t>Chicago</t>
  </si>
  <si>
    <t>Los Angeles</t>
  </si>
  <si>
    <t xml:space="preserve">n = </t>
    <phoneticPr fontId="17" type="noConversion"/>
  </si>
  <si>
    <t>Equations</t>
    <phoneticPr fontId="17" type="noConversion"/>
  </si>
  <si>
    <t>Excel</t>
    <phoneticPr fontId="17" type="noConversion"/>
  </si>
  <si>
    <t xml:space="preserve">Slope: b = </t>
    <phoneticPr fontId="17" type="noConversion"/>
  </si>
  <si>
    <t xml:space="preserve">Intercept: a = </t>
    <phoneticPr fontId="17" type="noConversion"/>
  </si>
  <si>
    <t xml:space="preserve">r = </t>
    <phoneticPr fontId="17" type="noConversion"/>
  </si>
  <si>
    <t>Answers in "Predicted Y" column of the table above</t>
    <phoneticPr fontId="17" type="noConversion"/>
  </si>
  <si>
    <t>d</t>
    <phoneticPr fontId="17" type="noConversion"/>
  </si>
  <si>
    <t>Bigger cities have both more churches and a larger GLBT populations</t>
    <phoneticPr fontId="17" type="noConversion"/>
  </si>
  <si>
    <t>Compute for each city the number of GLBT per capita (see right column of the table)</t>
    <phoneticPr fontId="17" type="noConversion"/>
  </si>
  <si>
    <t>Pearson r between number of churches and GLBT per capita is,</t>
    <phoneticPr fontId="17" type="noConversion"/>
  </si>
  <si>
    <t>Mountains</t>
  </si>
  <si>
    <t>Columns</t>
  </si>
  <si>
    <t>Rows</t>
  </si>
  <si>
    <t xml:space="preserve">T = </t>
  </si>
  <si>
    <t>f</t>
  </si>
  <si>
    <r>
      <t>NOTE: We began this problem by specifying MSW along with the data above and then worked backward to get</t>
    </r>
    <r>
      <rPr>
        <sz val="10"/>
        <rFont val="Symbol"/>
      </rPr>
      <t xml:space="preserve"> SSS</t>
    </r>
    <r>
      <rPr>
        <sz val="10"/>
        <rFont val="Times"/>
      </rPr>
      <t>x</t>
    </r>
    <r>
      <rPr>
        <vertAlign val="subscript"/>
        <sz val="10"/>
        <rFont val="Times"/>
      </rPr>
      <t>ijk</t>
    </r>
    <r>
      <rPr>
        <vertAlign val="superscript"/>
        <sz val="10"/>
        <rFont val="Times"/>
      </rPr>
      <t>2</t>
    </r>
    <r>
      <rPr>
        <sz val="10"/>
        <rFont val="Times"/>
      </rPr>
      <t>.</t>
    </r>
  </si>
  <si>
    <t xml:space="preserve">SSW = </t>
  </si>
  <si>
    <t xml:space="preserve">MSW = </t>
  </si>
  <si>
    <r>
      <t xml:space="preserve">To </t>
    </r>
    <r>
      <rPr>
        <i/>
        <sz val="10"/>
        <rFont val="Times"/>
      </rPr>
      <t>compute</t>
    </r>
    <r>
      <rPr>
        <sz val="10"/>
        <rFont val="Times"/>
      </rPr>
      <t xml:space="preserve"> SSW and MSW with the usual formulas, note that,</t>
    </r>
  </si>
  <si>
    <t>Similar considerations apply to MSR and MS (CxR)</t>
  </si>
  <si>
    <t>M</t>
  </si>
  <si>
    <t>S</t>
  </si>
  <si>
    <t>r</t>
  </si>
  <si>
    <t>Y vs. X</t>
  </si>
  <si>
    <t>Z vs. X</t>
  </si>
  <si>
    <t>Y' vs. X</t>
  </si>
  <si>
    <t>(Y-Y') vs. X</t>
  </si>
  <si>
    <r>
      <t>S</t>
    </r>
    <r>
      <rPr>
        <vertAlign val="superscript"/>
        <sz val="12"/>
        <rFont val="Times New Roman"/>
      </rPr>
      <t>2</t>
    </r>
  </si>
  <si>
    <r>
      <t>S</t>
    </r>
    <r>
      <rPr>
        <sz val="12"/>
        <rFont val="Times New Roman"/>
      </rPr>
      <t>X =</t>
    </r>
  </si>
  <si>
    <r>
      <t>S</t>
    </r>
    <r>
      <rPr>
        <sz val="12"/>
        <rFont val="Times New Roman"/>
      </rPr>
      <t>X</t>
    </r>
    <r>
      <rPr>
        <vertAlign val="superscript"/>
        <sz val="12"/>
        <rFont val="Times New Roman"/>
      </rPr>
      <t>2</t>
    </r>
    <r>
      <rPr>
        <sz val="12"/>
        <rFont val="Times New Roman"/>
      </rPr>
      <t xml:space="preserve"> =</t>
    </r>
  </si>
  <si>
    <r>
      <t>S</t>
    </r>
    <r>
      <rPr>
        <sz val="12"/>
        <rFont val="Times New Roman"/>
      </rPr>
      <t>Y =</t>
    </r>
  </si>
  <si>
    <r>
      <t>S</t>
    </r>
    <r>
      <rPr>
        <sz val="12"/>
        <rFont val="Times New Roman"/>
      </rPr>
      <t>Y</t>
    </r>
    <r>
      <rPr>
        <vertAlign val="superscript"/>
        <sz val="12"/>
        <rFont val="Times New Roman"/>
      </rPr>
      <t>2</t>
    </r>
    <r>
      <rPr>
        <sz val="12"/>
        <rFont val="Times New Roman"/>
      </rPr>
      <t xml:space="preserve"> =</t>
    </r>
  </si>
  <si>
    <r>
      <t>S</t>
    </r>
    <r>
      <rPr>
        <sz val="12"/>
        <rFont val="Times"/>
      </rPr>
      <t>XY =</t>
    </r>
  </si>
  <si>
    <r>
      <t>S</t>
    </r>
    <r>
      <rPr>
        <sz val="12"/>
        <rFont val="Times New Roman"/>
      </rPr>
      <t>Y' =</t>
    </r>
  </si>
  <si>
    <r>
      <t>S</t>
    </r>
    <r>
      <rPr>
        <sz val="12"/>
        <rFont val="Times New Roman"/>
      </rPr>
      <t>Y'</t>
    </r>
    <r>
      <rPr>
        <vertAlign val="superscript"/>
        <sz val="12"/>
        <rFont val="Times New Roman"/>
      </rPr>
      <t>2</t>
    </r>
    <r>
      <rPr>
        <sz val="12"/>
        <rFont val="Times New Roman"/>
      </rPr>
      <t xml:space="preserve"> =</t>
    </r>
  </si>
  <si>
    <r>
      <t>r</t>
    </r>
    <r>
      <rPr>
        <vertAlign val="superscript"/>
        <sz val="12"/>
        <rFont val="Times"/>
      </rPr>
      <t>2</t>
    </r>
    <r>
      <rPr>
        <sz val="12"/>
        <rFont val="Times"/>
      </rPr>
      <t xml:space="preserve"> = </t>
    </r>
  </si>
  <si>
    <r>
      <t>S</t>
    </r>
    <r>
      <rPr>
        <vertAlign val="superscript"/>
        <sz val="12"/>
        <rFont val="Times"/>
      </rPr>
      <t>2</t>
    </r>
    <r>
      <rPr>
        <vertAlign val="subscript"/>
        <sz val="12"/>
        <rFont val="Times"/>
      </rPr>
      <t>Y'</t>
    </r>
    <r>
      <rPr>
        <sz val="12"/>
        <rFont val="Times"/>
      </rPr>
      <t xml:space="preserve"> = </t>
    </r>
  </si>
  <si>
    <r>
      <t>S</t>
    </r>
    <r>
      <rPr>
        <vertAlign val="superscript"/>
        <sz val="12"/>
        <rFont val="Times"/>
      </rPr>
      <t>2</t>
    </r>
    <r>
      <rPr>
        <vertAlign val="subscript"/>
        <sz val="12"/>
        <rFont val="Times"/>
      </rPr>
      <t>Y</t>
    </r>
    <r>
      <rPr>
        <sz val="12"/>
        <rFont val="Times"/>
      </rPr>
      <t xml:space="preserve"> = </t>
    </r>
  </si>
  <si>
    <r>
      <t xml:space="preserve">r = 0. By definition, the (Y-Y') scores represent what </t>
    </r>
    <r>
      <rPr>
        <i/>
        <sz val="12"/>
        <rFont val="Times"/>
      </rPr>
      <t>cannot be predicted</t>
    </r>
    <r>
      <rPr>
        <sz val="12"/>
        <rFont val="Times"/>
      </rPr>
      <t xml:space="preserve"> by the X scores.</t>
    </r>
  </si>
  <si>
    <t xml:space="preserve">r = </t>
  </si>
  <si>
    <r>
      <t>r</t>
    </r>
    <r>
      <rPr>
        <vertAlign val="superscript"/>
        <sz val="13"/>
        <rFont val="Times"/>
      </rPr>
      <t>2</t>
    </r>
  </si>
  <si>
    <t>X, Y</t>
  </si>
  <si>
    <t>X, Y'</t>
  </si>
  <si>
    <t>X, (Y-Y')</t>
  </si>
  <si>
    <t>X, Z</t>
  </si>
  <si>
    <t>Between...</t>
  </si>
  <si>
    <t>C = Churches per capita</t>
  </si>
  <si>
    <t>Z, C</t>
  </si>
  <si>
    <t>b</t>
    <phoneticPr fontId="17" type="noConversion"/>
  </si>
  <si>
    <t>c</t>
    <phoneticPr fontId="17" type="noConversion"/>
  </si>
  <si>
    <t>d</t>
    <phoneticPr fontId="17" type="noConversion"/>
  </si>
  <si>
    <t xml:space="preserve">J = </t>
    <phoneticPr fontId="17" type="noConversion"/>
  </si>
  <si>
    <t>Dosage (mg)</t>
    <phoneticPr fontId="17" type="noConversion"/>
  </si>
  <si>
    <t xml:space="preserve"> = T</t>
    <phoneticPr fontId="17" type="noConversion"/>
  </si>
  <si>
    <t xml:space="preserve"> = N</t>
    <phoneticPr fontId="17" type="noConversion"/>
  </si>
  <si>
    <t>= mean pass-1 weight</t>
    <phoneticPr fontId="17" type="noConversion"/>
  </si>
  <si>
    <t>= mean pass-2 weight</t>
    <phoneticPr fontId="17" type="noConversion"/>
  </si>
  <si>
    <t>ANOVA</t>
    <phoneticPr fontId="17" type="noConversion"/>
  </si>
  <si>
    <t>Source</t>
    <phoneticPr fontId="17" type="noConversion"/>
  </si>
  <si>
    <t>df</t>
    <phoneticPr fontId="17" type="noConversion"/>
  </si>
  <si>
    <t>SS</t>
    <phoneticPr fontId="17" type="noConversion"/>
  </si>
  <si>
    <t>MS</t>
    <phoneticPr fontId="17" type="noConversion"/>
  </si>
  <si>
    <t>% var</t>
    <phoneticPr fontId="17" type="noConversion"/>
  </si>
  <si>
    <t>Obt F</t>
    <phoneticPr fontId="17" type="noConversion"/>
  </si>
  <si>
    <t>Crit F</t>
    <phoneticPr fontId="17" type="noConversion"/>
  </si>
  <si>
    <t>Between</t>
    <phoneticPr fontId="17" type="noConversion"/>
  </si>
  <si>
    <t>Hypothesis</t>
    <phoneticPr fontId="17" type="noConversion"/>
  </si>
  <si>
    <t>Residual</t>
    <phoneticPr fontId="17" type="noConversion"/>
  </si>
  <si>
    <t>Within</t>
    <phoneticPr fontId="17" type="noConversion"/>
  </si>
  <si>
    <t xml:space="preserve">% var = </t>
    <phoneticPr fontId="17" type="noConversion"/>
  </si>
  <si>
    <t>(hypothesis)</t>
    <phoneticPr fontId="17" type="noConversion"/>
  </si>
  <si>
    <t>(residual)</t>
    <phoneticPr fontId="17" type="noConversion"/>
  </si>
  <si>
    <t>Answers are the same.</t>
    <phoneticPr fontId="17" type="noConversion"/>
  </si>
  <si>
    <t>1</t>
    <phoneticPr fontId="16" type="noConversion"/>
  </si>
  <si>
    <t>X = Church Prevelence</t>
    <phoneticPr fontId="16" type="noConversion"/>
  </si>
  <si>
    <t>Y = Alcohol Prevelence</t>
    <phoneticPr fontId="16" type="noConversion"/>
  </si>
  <si>
    <t>New York</t>
    <phoneticPr fontId="16" type="noConversion"/>
  </si>
  <si>
    <t>Los Angeles</t>
    <phoneticPr fontId="16" type="noConversion"/>
  </si>
  <si>
    <t>Houston</t>
    <phoneticPr fontId="16" type="noConversion"/>
  </si>
  <si>
    <t>Chicago</t>
    <phoneticPr fontId="16" type="noConversion"/>
  </si>
  <si>
    <t>Philadelphia</t>
    <phoneticPr fontId="16" type="noConversion"/>
  </si>
  <si>
    <t>Miami</t>
    <phoneticPr fontId="16" type="noConversion"/>
  </si>
  <si>
    <t>SCATTERPLOT (not asked for on the exam, but here it is anyway)</t>
    <phoneticPr fontId="16" type="noConversion"/>
  </si>
  <si>
    <t>a</t>
    <phoneticPr fontId="16" type="noConversion"/>
  </si>
  <si>
    <t xml:space="preserve">Obtained z = </t>
    <phoneticPr fontId="16" type="noConversion"/>
  </si>
  <si>
    <t xml:space="preserve">z SD = </t>
    <phoneticPr fontId="16" type="noConversion"/>
  </si>
  <si>
    <t xml:space="preserve">% conf = </t>
    <phoneticPr fontId="16" type="noConversion"/>
  </si>
  <si>
    <t xml:space="preserve">crit z = </t>
    <phoneticPr fontId="16" type="noConversion"/>
  </si>
  <si>
    <t xml:space="preserve">CI magnitude = </t>
    <phoneticPr fontId="16" type="noConversion"/>
  </si>
  <si>
    <t xml:space="preserve">upper z = </t>
    <phoneticPr fontId="16" type="noConversion"/>
  </si>
  <si>
    <t xml:space="preserve">lower z = </t>
    <phoneticPr fontId="16" type="noConversion"/>
  </si>
  <si>
    <t xml:space="preserve">upper r = </t>
    <phoneticPr fontId="16" type="noConversion"/>
  </si>
  <si>
    <t xml:space="preserve">lower r = </t>
    <phoneticPr fontId="16" type="noConversion"/>
  </si>
  <si>
    <t>From above</t>
    <phoneticPr fontId="16" type="noConversion"/>
  </si>
  <si>
    <t>From Excel</t>
    <phoneticPr fontId="16" type="noConversion"/>
  </si>
  <si>
    <t xml:space="preserve">X = </t>
    <phoneticPr fontId="16" type="noConversion"/>
  </si>
  <si>
    <t xml:space="preserve">r = </t>
    <phoneticPr fontId="16" type="noConversion"/>
  </si>
  <si>
    <t xml:space="preserve">Y' = </t>
    <phoneticPr fontId="16" type="noConversion"/>
  </si>
  <si>
    <t>Y'</t>
  </si>
  <si>
    <t>(Y-Y')</t>
  </si>
  <si>
    <t xml:space="preserve">b = </t>
  </si>
  <si>
    <t>a =</t>
  </si>
  <si>
    <t>Means</t>
  </si>
  <si>
    <t>Variances</t>
  </si>
  <si>
    <t>Standard Deviations</t>
  </si>
  <si>
    <r>
      <t>S</t>
    </r>
    <r>
      <rPr>
        <sz val="10"/>
        <rFont val="Times New Roman"/>
      </rPr>
      <t>X =</t>
    </r>
  </si>
  <si>
    <r>
      <t>S</t>
    </r>
    <r>
      <rPr>
        <sz val="10"/>
        <rFont val="Times New Roman"/>
      </rPr>
      <t>X</t>
    </r>
    <r>
      <rPr>
        <vertAlign val="superscript"/>
        <sz val="10"/>
        <rFont val="Times New Roman"/>
      </rPr>
      <t>2</t>
    </r>
    <r>
      <rPr>
        <sz val="10"/>
        <rFont val="Times New Roman"/>
      </rPr>
      <t xml:space="preserve"> =</t>
    </r>
  </si>
  <si>
    <r>
      <t>S</t>
    </r>
    <r>
      <rPr>
        <sz val="10"/>
        <rFont val="Times New Roman"/>
      </rPr>
      <t>Y =</t>
    </r>
  </si>
  <si>
    <r>
      <t>S</t>
    </r>
    <r>
      <rPr>
        <sz val="10"/>
        <rFont val="Times New Roman"/>
      </rPr>
      <t>Y</t>
    </r>
    <r>
      <rPr>
        <vertAlign val="superscript"/>
        <sz val="10"/>
        <rFont val="Times New Roman"/>
      </rPr>
      <t>2</t>
    </r>
    <r>
      <rPr>
        <sz val="10"/>
        <rFont val="Times New Roman"/>
      </rPr>
      <t xml:space="preserve"> =</t>
    </r>
  </si>
  <si>
    <r>
      <t>S</t>
    </r>
    <r>
      <rPr>
        <sz val="10"/>
        <rFont val="Times"/>
      </rPr>
      <t>XY =</t>
    </r>
  </si>
  <si>
    <r>
      <t>S</t>
    </r>
    <r>
      <rPr>
        <sz val="10"/>
        <rFont val="Times New Roman"/>
      </rPr>
      <t>Y'</t>
    </r>
    <r>
      <rPr>
        <vertAlign val="superscript"/>
        <sz val="10"/>
        <rFont val="Times New Roman"/>
      </rPr>
      <t>2</t>
    </r>
    <r>
      <rPr>
        <sz val="10"/>
        <rFont val="Times New Roman"/>
      </rPr>
      <t xml:space="preserve"> = </t>
    </r>
  </si>
  <si>
    <t xml:space="preserve">Pearson r = </t>
  </si>
  <si>
    <r>
      <t>Obtained r</t>
    </r>
    <r>
      <rPr>
        <sz val="10"/>
        <rFont val="Times"/>
      </rPr>
      <t xml:space="preserve"> = </t>
    </r>
  </si>
  <si>
    <r>
      <t>upper r</t>
    </r>
    <r>
      <rPr>
        <vertAlign val="superscript"/>
        <sz val="10"/>
        <rFont val="Times"/>
      </rPr>
      <t>2</t>
    </r>
    <r>
      <rPr>
        <sz val="10"/>
        <rFont val="Times"/>
      </rPr>
      <t xml:space="preserve"> = </t>
    </r>
  </si>
  <si>
    <r>
      <t>lower r</t>
    </r>
    <r>
      <rPr>
        <vertAlign val="superscript"/>
        <sz val="10"/>
        <rFont val="Times"/>
      </rPr>
      <t>2</t>
    </r>
    <r>
      <rPr>
        <sz val="10"/>
        <rFont val="Times"/>
      </rPr>
      <t xml:space="preserve"> = </t>
    </r>
  </si>
  <si>
    <r>
      <t>S</t>
    </r>
    <r>
      <rPr>
        <vertAlign val="subscript"/>
        <sz val="10"/>
        <rFont val="Times"/>
      </rPr>
      <t>Y</t>
    </r>
    <r>
      <rPr>
        <vertAlign val="superscript"/>
        <sz val="10"/>
        <rFont val="Times"/>
      </rPr>
      <t>2</t>
    </r>
    <r>
      <rPr>
        <sz val="10"/>
        <rFont val="Times"/>
      </rPr>
      <t xml:space="preserve"> = </t>
    </r>
  </si>
  <si>
    <r>
      <t>S</t>
    </r>
    <r>
      <rPr>
        <vertAlign val="subscript"/>
        <sz val="10"/>
        <rFont val="Times"/>
      </rPr>
      <t>Y'</t>
    </r>
    <r>
      <rPr>
        <vertAlign val="superscript"/>
        <sz val="10"/>
        <rFont val="Times"/>
      </rPr>
      <t>2</t>
    </r>
    <r>
      <rPr>
        <sz val="10"/>
        <rFont val="Times"/>
      </rPr>
      <t xml:space="preserve"> = </t>
    </r>
  </si>
  <si>
    <r>
      <t>S</t>
    </r>
    <r>
      <rPr>
        <vertAlign val="subscript"/>
        <sz val="10"/>
        <rFont val="Times"/>
      </rPr>
      <t>Y'</t>
    </r>
    <r>
      <rPr>
        <sz val="10"/>
        <rFont val="Times"/>
      </rPr>
      <t xml:space="preserve"> = </t>
    </r>
  </si>
  <si>
    <r>
      <t>M</t>
    </r>
    <r>
      <rPr>
        <vertAlign val="subscript"/>
        <sz val="10"/>
        <rFont val="Times"/>
      </rPr>
      <t>X</t>
    </r>
    <r>
      <rPr>
        <sz val="10"/>
        <rFont val="Times"/>
      </rPr>
      <t xml:space="preserve"> = </t>
    </r>
  </si>
  <si>
    <r>
      <t>S</t>
    </r>
    <r>
      <rPr>
        <vertAlign val="subscript"/>
        <sz val="10"/>
        <rFont val="Times"/>
      </rPr>
      <t>X</t>
    </r>
    <r>
      <rPr>
        <sz val="10"/>
        <rFont val="Times"/>
      </rPr>
      <t xml:space="preserve"> = </t>
    </r>
  </si>
  <si>
    <r>
      <t>M</t>
    </r>
    <r>
      <rPr>
        <vertAlign val="subscript"/>
        <sz val="10"/>
        <rFont val="Times"/>
      </rPr>
      <t>Y</t>
    </r>
    <r>
      <rPr>
        <sz val="10"/>
        <rFont val="Times"/>
      </rPr>
      <t xml:space="preserve"> = </t>
    </r>
  </si>
  <si>
    <r>
      <t>S</t>
    </r>
    <r>
      <rPr>
        <vertAlign val="subscript"/>
        <sz val="10"/>
        <rFont val="Times"/>
      </rPr>
      <t>Y</t>
    </r>
    <r>
      <rPr>
        <sz val="10"/>
        <rFont val="Times"/>
      </rPr>
      <t xml:space="preserve"> = </t>
    </r>
  </si>
  <si>
    <r>
      <t>z</t>
    </r>
    <r>
      <rPr>
        <vertAlign val="subscript"/>
        <sz val="10"/>
        <rFont val="Times"/>
      </rPr>
      <t>X</t>
    </r>
    <r>
      <rPr>
        <sz val="10"/>
        <rFont val="Times"/>
      </rPr>
      <t xml:space="preserve"> = </t>
    </r>
  </si>
  <si>
    <r>
      <t>z</t>
    </r>
    <r>
      <rPr>
        <vertAlign val="subscript"/>
        <sz val="10"/>
        <rFont val="Times"/>
      </rPr>
      <t>Y'</t>
    </r>
    <r>
      <rPr>
        <sz val="10"/>
        <rFont val="Times"/>
      </rPr>
      <t xml:space="preserve"> = </t>
    </r>
  </si>
  <si>
    <r>
      <t>M</t>
    </r>
    <r>
      <rPr>
        <vertAlign val="subscript"/>
        <sz val="10"/>
        <rFont val="Times"/>
      </rPr>
      <t>j</t>
    </r>
    <r>
      <rPr>
        <sz val="10"/>
        <rFont val="Times"/>
      </rPr>
      <t xml:space="preserve">: </t>
    </r>
  </si>
  <si>
    <r>
      <t>T</t>
    </r>
    <r>
      <rPr>
        <vertAlign val="subscript"/>
        <sz val="10"/>
        <rFont val="Times"/>
      </rPr>
      <t>j</t>
    </r>
    <r>
      <rPr>
        <sz val="10"/>
        <rFont val="Times"/>
      </rPr>
      <t xml:space="preserve">: </t>
    </r>
  </si>
  <si>
    <r>
      <t>S</t>
    </r>
    <r>
      <rPr>
        <sz val="10"/>
        <rFont val="Times"/>
      </rPr>
      <t>T</t>
    </r>
    <r>
      <rPr>
        <vertAlign val="subscript"/>
        <sz val="10"/>
        <rFont val="Times"/>
      </rPr>
      <t>j</t>
    </r>
    <r>
      <rPr>
        <vertAlign val="superscript"/>
        <sz val="10"/>
        <rFont val="Times"/>
      </rPr>
      <t>2</t>
    </r>
    <r>
      <rPr>
        <sz val="10"/>
        <rFont val="Times"/>
      </rPr>
      <t xml:space="preserve"> = </t>
    </r>
  </si>
  <si>
    <r>
      <t>S</t>
    </r>
    <r>
      <rPr>
        <sz val="10"/>
        <rFont val="Times"/>
      </rPr>
      <t>M</t>
    </r>
    <r>
      <rPr>
        <vertAlign val="subscript"/>
        <sz val="10"/>
        <rFont val="Times"/>
      </rPr>
      <t>j</t>
    </r>
    <r>
      <rPr>
        <sz val="10"/>
        <rFont val="Times"/>
      </rPr>
      <t xml:space="preserve"> = </t>
    </r>
  </si>
  <si>
    <r>
      <t>S</t>
    </r>
    <r>
      <rPr>
        <sz val="10"/>
        <rFont val="Times"/>
      </rPr>
      <t>M</t>
    </r>
    <r>
      <rPr>
        <vertAlign val="subscript"/>
        <sz val="10"/>
        <rFont val="Times"/>
      </rPr>
      <t>j</t>
    </r>
    <r>
      <rPr>
        <vertAlign val="superscript"/>
        <sz val="10"/>
        <rFont val="Times"/>
      </rPr>
      <t>2</t>
    </r>
    <r>
      <rPr>
        <sz val="10"/>
        <rFont val="Times"/>
      </rPr>
      <t xml:space="preserve"> = </t>
    </r>
  </si>
  <si>
    <r>
      <t>w</t>
    </r>
    <r>
      <rPr>
        <vertAlign val="subscript"/>
        <sz val="10"/>
        <rFont val="Times"/>
      </rPr>
      <t>j</t>
    </r>
    <r>
      <rPr>
        <sz val="10"/>
        <rFont val="Times"/>
      </rPr>
      <t>'s (pass 1):</t>
    </r>
  </si>
  <si>
    <r>
      <t>w</t>
    </r>
    <r>
      <rPr>
        <vertAlign val="subscript"/>
        <sz val="10"/>
        <rFont val="Times"/>
      </rPr>
      <t>j</t>
    </r>
    <r>
      <rPr>
        <sz val="10"/>
        <rFont val="Times"/>
      </rPr>
      <t>'s (pass 2):</t>
    </r>
  </si>
  <si>
    <r>
      <t>r</t>
    </r>
    <r>
      <rPr>
        <vertAlign val="superscript"/>
        <sz val="10"/>
        <rFont val="Times"/>
      </rPr>
      <t>2</t>
    </r>
    <r>
      <rPr>
        <sz val="10"/>
        <rFont val="Times"/>
      </rPr>
      <t xml:space="preserve"> = </t>
    </r>
  </si>
  <si>
    <t>NOTE: We have provided information on this answer sheet that goes beyond what you were asked on the exam.</t>
  </si>
  <si>
    <t>Large Cities</t>
  </si>
  <si>
    <t>Small Cities</t>
  </si>
  <si>
    <t>Moses Lake</t>
  </si>
  <si>
    <t>Wenachee</t>
  </si>
  <si>
    <t>Yakima</t>
  </si>
  <si>
    <t>Walla Walla</t>
  </si>
  <si>
    <t>Tacoma</t>
  </si>
  <si>
    <t>Bellingham</t>
  </si>
  <si>
    <t>3</t>
  </si>
  <si>
    <t xml:space="preserve">n = </t>
  </si>
  <si>
    <r>
      <t>W</t>
    </r>
    <r>
      <rPr>
        <vertAlign val="subscript"/>
        <sz val="10"/>
        <rFont val="Times"/>
      </rPr>
      <t>j</t>
    </r>
    <r>
      <rPr>
        <sz val="10"/>
        <rFont val="Times"/>
      </rPr>
      <t xml:space="preserve">: </t>
    </r>
  </si>
  <si>
    <r>
      <t>S</t>
    </r>
    <r>
      <rPr>
        <sz val="10"/>
        <rFont val="Times"/>
      </rPr>
      <t>W</t>
    </r>
    <r>
      <rPr>
        <vertAlign val="subscript"/>
        <sz val="10"/>
        <rFont val="Times"/>
      </rPr>
      <t>j</t>
    </r>
    <r>
      <rPr>
        <sz val="10"/>
        <rFont val="Times"/>
      </rPr>
      <t xml:space="preserve"> = </t>
    </r>
  </si>
  <si>
    <r>
      <t>S</t>
    </r>
    <r>
      <rPr>
        <sz val="10"/>
        <rFont val="Times"/>
      </rPr>
      <t>W</t>
    </r>
    <r>
      <rPr>
        <vertAlign val="subscript"/>
        <sz val="10"/>
        <rFont val="Times"/>
      </rPr>
      <t>j</t>
    </r>
    <r>
      <rPr>
        <vertAlign val="superscript"/>
        <sz val="10"/>
        <rFont val="Times"/>
      </rPr>
      <t>2</t>
    </r>
    <r>
      <rPr>
        <sz val="10"/>
        <rFont val="Times"/>
      </rPr>
      <t xml:space="preserve"> = </t>
    </r>
  </si>
  <si>
    <r>
      <t>S</t>
    </r>
    <r>
      <rPr>
        <sz val="10"/>
        <rFont val="Times"/>
      </rPr>
      <t>M</t>
    </r>
    <r>
      <rPr>
        <vertAlign val="subscript"/>
        <sz val="10"/>
        <rFont val="Times"/>
      </rPr>
      <t>j</t>
    </r>
    <r>
      <rPr>
        <sz val="10"/>
        <rFont val="Times"/>
      </rPr>
      <t>W</t>
    </r>
    <r>
      <rPr>
        <vertAlign val="subscript"/>
        <sz val="10"/>
        <rFont val="Times"/>
      </rPr>
      <t>j</t>
    </r>
    <r>
      <rPr>
        <sz val="10"/>
        <rFont val="Times"/>
      </rPr>
      <t xml:space="preserve"> = </t>
    </r>
  </si>
  <si>
    <r>
      <rPr>
        <sz val="10"/>
        <rFont val="Symbol"/>
      </rPr>
      <t>w</t>
    </r>
    <r>
      <rPr>
        <vertAlign val="superscript"/>
        <sz val="10"/>
        <rFont val="Times"/>
      </rPr>
      <t>2</t>
    </r>
    <r>
      <rPr>
        <sz val="10"/>
        <rFont val="Times"/>
      </rPr>
      <t xml:space="preserve"> = </t>
    </r>
  </si>
  <si>
    <r>
      <t xml:space="preserve">For both the small cities and the large cities, there is a </t>
    </r>
    <r>
      <rPr>
        <i/>
        <sz val="10"/>
        <rFont val="Times"/>
      </rPr>
      <t>negative</t>
    </r>
    <r>
      <rPr>
        <sz val="10"/>
        <rFont val="Times"/>
      </rPr>
      <t xml:space="preserve"> correlation.</t>
    </r>
  </si>
  <si>
    <t>The only reason that there is an overall positive correlation is because the big cities are bigger in both X and in Y than are the small cities.</t>
  </si>
  <si>
    <t>åœ</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</si>
</sst>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00"/>
    <numFmt numFmtId="166" formatCode="#,##0.0000000"/>
    <numFmt numFmtId="167" formatCode="#,##0.0000"/>
    <numFmt numFmtId="168" formatCode="#,##0.000000"/>
    <numFmt numFmtId="169" formatCode="#,##0.0"/>
    <numFmt numFmtId="170" formatCode="0.0%"/>
  </numFmts>
  <fonts count="69" x14ac:knownFonts="1">
    <font>
      <sz val="10"/>
      <name val="Times"/>
    </font>
    <font>
      <sz val="10"/>
      <name val="Verdana"/>
    </font>
    <font>
      <i/>
      <sz val="10"/>
      <name val="Verdana"/>
    </font>
    <font>
      <sz val="10"/>
      <name val="Verdana"/>
    </font>
    <font>
      <sz val="10"/>
      <name val="Verdana"/>
    </font>
    <font>
      <sz val="8"/>
      <name val="Verdana"/>
    </font>
    <font>
      <u/>
      <sz val="10"/>
      <name val="Verdana"/>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name val="Symbol"/>
    </font>
    <font>
      <sz val="11"/>
      <name val="Times"/>
    </font>
    <font>
      <sz val="11"/>
      <name val="Verdana"/>
    </font>
    <font>
      <sz val="10"/>
      <name val="Verdana"/>
    </font>
    <font>
      <sz val="11"/>
      <name val="Times New Roman"/>
    </font>
    <font>
      <u/>
      <sz val="10"/>
      <color theme="10"/>
      <name val="Verdana"/>
    </font>
    <font>
      <u/>
      <sz val="10"/>
      <color theme="11"/>
      <name val="Verdana"/>
    </font>
    <font>
      <b/>
      <sz val="10"/>
      <name val="Times"/>
    </font>
    <font>
      <sz val="10"/>
      <name val="Times"/>
    </font>
    <font>
      <sz val="12"/>
      <name val="Times"/>
    </font>
    <font>
      <u/>
      <sz val="10"/>
      <name val="Times"/>
    </font>
    <font>
      <u/>
      <sz val="10"/>
      <color theme="10"/>
      <name val="Times"/>
    </font>
    <font>
      <u/>
      <sz val="10"/>
      <color theme="11"/>
      <name val="Times"/>
    </font>
    <font>
      <vertAlign val="superscript"/>
      <sz val="10"/>
      <name val="Times"/>
    </font>
    <font>
      <i/>
      <sz val="10"/>
      <name val="Times"/>
    </font>
    <font>
      <vertAlign val="subscript"/>
      <sz val="10"/>
      <name val="Times"/>
    </font>
    <font>
      <sz val="10"/>
      <name val="time"/>
    </font>
    <font>
      <b/>
      <i/>
      <sz val="10"/>
      <name val="Times"/>
    </font>
    <font>
      <vertAlign val="subscript"/>
      <sz val="11"/>
      <name val="Times"/>
    </font>
    <font>
      <b/>
      <u/>
      <sz val="12"/>
      <name val="Times"/>
    </font>
    <font>
      <vertAlign val="superscript"/>
      <sz val="10"/>
      <name val="Symbol"/>
    </font>
    <font>
      <b/>
      <sz val="10"/>
      <name val="Verdana"/>
    </font>
    <font>
      <sz val="11"/>
      <color indexed="9"/>
      <name val="Times"/>
    </font>
    <font>
      <sz val="10"/>
      <color indexed="9"/>
      <name val="Verdana"/>
    </font>
    <font>
      <sz val="11"/>
      <color indexed="9"/>
      <name val="Symbol"/>
    </font>
    <font>
      <sz val="11"/>
      <color indexed="9"/>
      <name val="Times New Roman"/>
    </font>
    <font>
      <vertAlign val="subscript"/>
      <sz val="11"/>
      <name val="Times New Roman"/>
    </font>
    <font>
      <sz val="11"/>
      <name val="Symbol"/>
    </font>
    <font>
      <vertAlign val="superscript"/>
      <sz val="11"/>
      <name val="Times New Roman"/>
    </font>
    <font>
      <u/>
      <sz val="11"/>
      <name val="Times"/>
    </font>
    <font>
      <vertAlign val="superscript"/>
      <sz val="11"/>
      <name val="Times"/>
    </font>
    <font>
      <sz val="10"/>
      <name val="Times New Roman"/>
    </font>
    <font>
      <b/>
      <sz val="11"/>
      <name val="Times"/>
    </font>
    <font>
      <sz val="8"/>
      <name val="Times New Roman"/>
    </font>
    <font>
      <sz val="12"/>
      <name val="Times New Roman"/>
    </font>
    <font>
      <vertAlign val="superscript"/>
      <sz val="12"/>
      <name val="Times"/>
    </font>
    <font>
      <b/>
      <u/>
      <sz val="14"/>
      <name val="Times"/>
    </font>
    <font>
      <vertAlign val="superscript"/>
      <sz val="12"/>
      <name val="Times New Roman"/>
    </font>
    <font>
      <sz val="12"/>
      <name val="Symbol"/>
    </font>
    <font>
      <vertAlign val="subscript"/>
      <sz val="12"/>
      <name val="Times"/>
    </font>
    <font>
      <i/>
      <sz val="12"/>
      <name val="Times"/>
    </font>
    <font>
      <sz val="13"/>
      <name val="Times"/>
    </font>
    <font>
      <vertAlign val="superscript"/>
      <sz val="13"/>
      <name val="Times"/>
    </font>
    <font>
      <vertAlign val="superscript"/>
      <sz val="10"/>
      <name val="Times New Roman"/>
    </font>
    <font>
      <sz val="10"/>
      <color indexed="8"/>
      <name val="Times New Roman"/>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theme="0" tint="-0.249977111117893"/>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medium">
        <color auto="1"/>
      </top>
      <bottom style="medium">
        <color auto="1"/>
      </bottom>
      <diagonal/>
    </border>
    <border>
      <left/>
      <right/>
      <top/>
      <bottom style="thin">
        <color indexed="9"/>
      </bottom>
      <diagonal/>
    </border>
    <border>
      <left/>
      <right style="thin">
        <color indexed="9"/>
      </right>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style="thin">
        <color auto="1"/>
      </left>
      <right/>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double">
        <color auto="1"/>
      </bottom>
      <diagonal/>
    </border>
    <border>
      <left/>
      <right style="double">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right style="double">
        <color auto="1"/>
      </right>
      <top/>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right style="double">
        <color auto="1"/>
      </right>
      <top/>
      <bottom style="thin">
        <color auto="1"/>
      </bottom>
      <diagonal/>
    </border>
    <border>
      <left style="double">
        <color auto="1"/>
      </left>
      <right style="medium">
        <color auto="1"/>
      </right>
      <top/>
      <bottom style="thin">
        <color auto="1"/>
      </bottom>
      <diagonal/>
    </border>
    <border>
      <left style="medium">
        <color auto="1"/>
      </left>
      <right style="medium">
        <color auto="1"/>
      </right>
      <top/>
      <bottom style="thin">
        <color auto="1"/>
      </bottom>
      <diagonal/>
    </border>
    <border>
      <left style="double">
        <color auto="1"/>
      </left>
      <right style="medium">
        <color auto="1"/>
      </right>
      <top/>
      <bottom style="medium">
        <color auto="1"/>
      </bottom>
      <diagonal/>
    </border>
    <border>
      <left style="medium">
        <color auto="1"/>
      </left>
      <right style="medium">
        <color auto="1"/>
      </right>
      <top/>
      <bottom style="medium">
        <color auto="1"/>
      </bottom>
      <diagonal/>
    </border>
    <border>
      <left style="double">
        <color auto="1"/>
      </left>
      <right style="medium">
        <color auto="1"/>
      </right>
      <top/>
      <bottom/>
      <diagonal/>
    </border>
    <border>
      <left style="medium">
        <color auto="1"/>
      </left>
      <right style="medium">
        <color auto="1"/>
      </right>
      <top/>
      <bottom/>
      <diagonal/>
    </border>
    <border>
      <left/>
      <right style="double">
        <color auto="1"/>
      </right>
      <top/>
      <bottom style="medium">
        <color auto="1"/>
      </bottom>
      <diagonal/>
    </border>
    <border>
      <left style="double">
        <color auto="1"/>
      </left>
      <right style="medium">
        <color auto="1"/>
      </right>
      <top style="medium">
        <color auto="1"/>
      </top>
      <bottom/>
      <diagonal/>
    </border>
    <border>
      <left style="medium">
        <color auto="1"/>
      </left>
      <right style="medium">
        <color auto="1"/>
      </right>
      <top style="medium">
        <color auto="1"/>
      </top>
      <bottom/>
      <diagonal/>
    </border>
    <border>
      <left/>
      <right style="double">
        <color auto="1"/>
      </right>
      <top style="medium">
        <color auto="1"/>
      </top>
      <bottom/>
      <diagonal/>
    </border>
    <border>
      <left style="medium">
        <color auto="1"/>
      </left>
      <right style="medium">
        <color auto="1"/>
      </right>
      <top style="medium">
        <color auto="1"/>
      </top>
      <bottom style="medium">
        <color auto="1"/>
      </bottom>
      <diagonal/>
    </border>
  </borders>
  <cellStyleXfs count="1067">
    <xf numFmtId="4"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12" fillId="14" borderId="0" applyNumberFormat="0" applyBorder="0" applyAlignment="0" applyProtection="0"/>
    <xf numFmtId="0" fontId="16" fillId="2" borderId="1" applyNumberFormat="0" applyAlignment="0" applyProtection="0"/>
    <xf numFmtId="0" fontId="18" fillId="15" borderId="2" applyNumberFormat="0" applyAlignment="0" applyProtection="0"/>
    <xf numFmtId="0" fontId="20" fillId="0" borderId="0" applyNumberFormat="0" applyFill="0" applyBorder="0" applyAlignment="0" applyProtection="0"/>
    <xf numFmtId="0" fontId="11"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8" borderId="0" applyNumberFormat="0" applyBorder="0" applyAlignment="0" applyProtection="0"/>
    <xf numFmtId="0" fontId="4" fillId="4" borderId="7" applyNumberFormat="0" applyFont="0" applyAlignment="0" applyProtection="0"/>
    <xf numFmtId="0" fontId="15" fillId="2" borderId="8" applyNumberFormat="0" applyAlignment="0" applyProtection="0"/>
    <xf numFmtId="9" fontId="3"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29" fillId="0" borderId="0" applyNumberFormat="0" applyFill="0" applyBorder="0" applyAlignment="0" applyProtection="0"/>
    <xf numFmtId="4" fontId="30"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5"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xf numFmtId="4" fontId="36" fillId="0" borderId="0" applyNumberFormat="0" applyFill="0" applyBorder="0" applyAlignment="0" applyProtection="0"/>
  </cellStyleXfs>
  <cellXfs count="678">
    <xf numFmtId="4" fontId="0" fillId="0" borderId="0" xfId="0"/>
    <xf numFmtId="164" fontId="0" fillId="0" borderId="0" xfId="0" applyNumberFormat="1" applyBorder="1" applyAlignment="1">
      <alignment horizontal="left" vertical="center"/>
    </xf>
    <xf numFmtId="9" fontId="0" fillId="0" borderId="0" xfId="39" applyFont="1" applyBorder="1" applyAlignment="1">
      <alignment horizontal="left" vertical="center"/>
    </xf>
    <xf numFmtId="3" fontId="0" fillId="0" borderId="0" xfId="0" applyNumberFormat="1" applyBorder="1" applyAlignment="1">
      <alignment horizontal="center" vertical="center"/>
    </xf>
    <xf numFmtId="3" fontId="0" fillId="0" borderId="0" xfId="0" applyNumberFormat="1" applyBorder="1" applyAlignment="1">
      <alignment horizontal="right" vertical="center"/>
    </xf>
    <xf numFmtId="3" fontId="0" fillId="0" borderId="0" xfId="0" applyNumberFormat="1" applyBorder="1" applyAlignment="1">
      <alignment horizontal="left" vertical="center"/>
    </xf>
    <xf numFmtId="164" fontId="0" fillId="0" borderId="0" xfId="0" applyNumberFormat="1" applyBorder="1" applyAlignment="1">
      <alignment horizontal="center" vertical="center"/>
    </xf>
    <xf numFmtId="4" fontId="0" fillId="0" borderId="0" xfId="0" applyFont="1" applyBorder="1" applyAlignment="1">
      <alignment horizontal="right"/>
    </xf>
    <xf numFmtId="164" fontId="0" fillId="0" borderId="0" xfId="0" applyNumberFormat="1" applyFont="1" applyBorder="1" applyAlignment="1">
      <alignment horizontal="right"/>
    </xf>
    <xf numFmtId="3" fontId="0" fillId="0" borderId="0" xfId="0" applyNumberFormat="1" applyFont="1" applyBorder="1" applyAlignment="1">
      <alignment horizontal="left"/>
    </xf>
    <xf numFmtId="4" fontId="0" fillId="0" borderId="0" xfId="0" applyFont="1" applyBorder="1" applyAlignment="1">
      <alignment horizontal="right" vertical="center"/>
    </xf>
    <xf numFmtId="164" fontId="32" fillId="0" borderId="0" xfId="0" applyNumberFormat="1" applyFont="1" applyBorder="1" applyAlignment="1">
      <alignment horizontal="center"/>
    </xf>
    <xf numFmtId="164" fontId="33" fillId="0" borderId="0" xfId="0" applyNumberFormat="1" applyFont="1" applyBorder="1" applyAlignment="1">
      <alignment horizontal="center"/>
    </xf>
    <xf numFmtId="4" fontId="34" fillId="0" borderId="0" xfId="0" applyFont="1" applyBorder="1" applyAlignment="1">
      <alignment horizontal="left"/>
    </xf>
    <xf numFmtId="4" fontId="31" fillId="0" borderId="0" xfId="0" applyFont="1" applyBorder="1" applyAlignment="1">
      <alignment horizontal="left"/>
    </xf>
    <xf numFmtId="4" fontId="31" fillId="0" borderId="0" xfId="0" quotePrefix="1" applyFont="1" applyBorder="1" applyAlignment="1">
      <alignment horizontal="left" vertical="center"/>
    </xf>
    <xf numFmtId="4" fontId="0" fillId="0" borderId="0" xfId="0" applyFont="1" applyBorder="1" applyAlignment="1">
      <alignment vertical="center"/>
    </xf>
    <xf numFmtId="4" fontId="31" fillId="0" borderId="0" xfId="0" quotePrefix="1" applyFont="1" applyBorder="1" applyAlignment="1">
      <alignment horizontal="right" vertical="center"/>
    </xf>
    <xf numFmtId="4" fontId="31" fillId="0" borderId="0" xfId="0" applyFont="1" applyBorder="1" applyAlignment="1">
      <alignment horizontal="right" vertical="center"/>
    </xf>
    <xf numFmtId="164" fontId="0" fillId="0" borderId="0" xfId="0" applyNumberFormat="1" applyFont="1" applyBorder="1" applyAlignment="1">
      <alignment horizontal="left" vertical="center"/>
    </xf>
    <xf numFmtId="164" fontId="0" fillId="0" borderId="18" xfId="0" applyNumberFormat="1" applyFont="1" applyBorder="1" applyAlignment="1">
      <alignment horizontal="left" vertical="center"/>
    </xf>
    <xf numFmtId="4" fontId="0" fillId="0" borderId="0" xfId="0" applyFont="1" applyBorder="1" applyAlignment="1">
      <alignment horizontal="left" vertical="center"/>
    </xf>
    <xf numFmtId="164" fontId="0" fillId="0" borderId="0" xfId="0" applyNumberFormat="1" applyFont="1" applyBorder="1" applyAlignment="1">
      <alignment horizontal="center" vertical="center"/>
    </xf>
    <xf numFmtId="3" fontId="0" fillId="0" borderId="0" xfId="0" applyNumberFormat="1" applyFont="1" applyBorder="1" applyAlignment="1">
      <alignment horizontal="left" vertical="center"/>
    </xf>
    <xf numFmtId="3" fontId="0" fillId="0" borderId="0" xfId="0" applyNumberFormat="1" applyFont="1" applyBorder="1" applyAlignment="1">
      <alignment horizontal="center" vertical="center"/>
    </xf>
    <xf numFmtId="4" fontId="34" fillId="0" borderId="0" xfId="0" applyFont="1" applyBorder="1" applyAlignment="1">
      <alignment horizontal="right" vertical="center"/>
    </xf>
    <xf numFmtId="4" fontId="0" fillId="0" borderId="15" xfId="0" applyFont="1" applyBorder="1" applyAlignment="1">
      <alignment horizontal="right" vertical="center"/>
    </xf>
    <xf numFmtId="4" fontId="0" fillId="0" borderId="10" xfId="0" applyFont="1" applyBorder="1" applyAlignment="1">
      <alignment horizontal="right" vertical="center"/>
    </xf>
    <xf numFmtId="164" fontId="0" fillId="0" borderId="11" xfId="0" applyNumberFormat="1" applyFont="1" applyBorder="1" applyAlignment="1">
      <alignment horizontal="left" vertical="center"/>
    </xf>
    <xf numFmtId="3" fontId="0" fillId="0" borderId="0" xfId="0" applyNumberFormat="1" applyFont="1" applyBorder="1" applyAlignment="1">
      <alignment horizontal="right" vertical="center"/>
    </xf>
    <xf numFmtId="3" fontId="0" fillId="0" borderId="20" xfId="0" applyNumberFormat="1" applyFont="1" applyBorder="1" applyAlignment="1">
      <alignment horizontal="center" vertical="center"/>
    </xf>
    <xf numFmtId="4" fontId="0" fillId="0" borderId="20" xfId="0" applyFont="1" applyBorder="1" applyAlignment="1">
      <alignment horizontal="center" vertical="center"/>
    </xf>
    <xf numFmtId="4" fontId="0" fillId="0" borderId="21" xfId="0" applyFont="1" applyBorder="1" applyAlignment="1">
      <alignment horizontal="center" vertical="center"/>
    </xf>
    <xf numFmtId="3" fontId="0" fillId="0" borderId="16" xfId="0" applyNumberFormat="1" applyFont="1" applyBorder="1" applyAlignment="1">
      <alignment horizontal="center" vertical="center"/>
    </xf>
    <xf numFmtId="167" fontId="0" fillId="0" borderId="0" xfId="0" applyNumberFormat="1" applyFont="1" applyBorder="1" applyAlignment="1">
      <alignment horizontal="center" vertical="center"/>
    </xf>
    <xf numFmtId="164" fontId="0" fillId="0" borderId="0" xfId="0" applyNumberFormat="1" applyFont="1" applyBorder="1" applyAlignment="1">
      <alignment horizontal="right" vertical="center"/>
    </xf>
    <xf numFmtId="4" fontId="0" fillId="0" borderId="17" xfId="0" applyFont="1" applyBorder="1" applyAlignment="1">
      <alignment horizontal="left" vertical="center"/>
    </xf>
    <xf numFmtId="4" fontId="0" fillId="0" borderId="17" xfId="0" applyFont="1" applyBorder="1" applyAlignment="1">
      <alignment horizontal="right" vertical="center"/>
    </xf>
    <xf numFmtId="4" fontId="0" fillId="0" borderId="0" xfId="0" applyNumberFormat="1" applyBorder="1" applyAlignment="1">
      <alignment horizontal="left" vertical="center"/>
    </xf>
    <xf numFmtId="4" fontId="31" fillId="0" borderId="0" xfId="0" quotePrefix="1" applyFont="1" applyAlignment="1">
      <alignment horizontal="left" vertical="center"/>
    </xf>
    <xf numFmtId="164" fontId="0" fillId="0" borderId="21" xfId="0" applyNumberFormat="1" applyFont="1" applyBorder="1" applyAlignment="1">
      <alignment horizontal="left" vertical="center"/>
    </xf>
    <xf numFmtId="4" fontId="0" fillId="0" borderId="21" xfId="0" applyFont="1" applyBorder="1" applyAlignment="1">
      <alignment horizontal="left" vertical="center"/>
    </xf>
    <xf numFmtId="164" fontId="0" fillId="0" borderId="10" xfId="0" applyNumberFormat="1" applyFont="1" applyBorder="1" applyAlignment="1">
      <alignment horizontal="right" vertical="center"/>
    </xf>
    <xf numFmtId="4" fontId="0" fillId="0" borderId="0" xfId="0" applyNumberFormat="1" applyBorder="1" applyAlignment="1">
      <alignment horizontal="right" vertical="center"/>
    </xf>
    <xf numFmtId="3" fontId="0" fillId="0" borderId="0" xfId="0" applyNumberFormat="1" applyFont="1" applyFill="1" applyBorder="1" applyAlignment="1">
      <alignment horizontal="right" vertical="center"/>
    </xf>
    <xf numFmtId="3" fontId="31" fillId="0" borderId="0" xfId="0" applyNumberFormat="1" applyFont="1" applyBorder="1" applyAlignment="1">
      <alignment horizontal="left" vertical="center"/>
    </xf>
    <xf numFmtId="4" fontId="0" fillId="0" borderId="0" xfId="0" applyNumberFormat="1" applyBorder="1" applyAlignment="1">
      <alignment vertical="center"/>
    </xf>
    <xf numFmtId="3" fontId="31"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3" fontId="31" fillId="0" borderId="0" xfId="0" applyNumberFormat="1" applyFont="1" applyBorder="1" applyAlignment="1">
      <alignment vertical="center"/>
    </xf>
    <xf numFmtId="4" fontId="0" fillId="0" borderId="0" xfId="0" applyNumberFormat="1" applyFont="1" applyBorder="1" applyAlignment="1">
      <alignment vertical="center"/>
    </xf>
    <xf numFmtId="4" fontId="40" fillId="0" borderId="0" xfId="0" applyNumberFormat="1" applyFont="1" applyBorder="1" applyAlignment="1">
      <alignment horizontal="right" vertical="center"/>
    </xf>
    <xf numFmtId="4" fontId="1" fillId="0" borderId="0" xfId="0" applyNumberFormat="1" applyFont="1" applyBorder="1" applyAlignment="1">
      <alignment horizontal="right" vertical="center"/>
    </xf>
    <xf numFmtId="4" fontId="0" fillId="0" borderId="0" xfId="0" applyNumberFormat="1" applyFont="1" applyBorder="1" applyAlignment="1">
      <alignment horizontal="right" vertical="center"/>
    </xf>
    <xf numFmtId="4" fontId="1" fillId="0" borderId="0" xfId="0" applyNumberFormat="1" applyFont="1" applyBorder="1" applyAlignment="1">
      <alignment horizontal="left" vertical="center"/>
    </xf>
    <xf numFmtId="164" fontId="0" fillId="0" borderId="0" xfId="0" applyNumberFormat="1" applyBorder="1" applyAlignment="1">
      <alignment horizontal="right" vertical="center"/>
    </xf>
    <xf numFmtId="4" fontId="24" fillId="0" borderId="0" xfId="0" applyNumberFormat="1" applyFont="1" applyBorder="1" applyAlignment="1">
      <alignment horizontal="right" vertical="center"/>
    </xf>
    <xf numFmtId="169" fontId="0" fillId="0" borderId="0" xfId="0" applyNumberFormat="1" applyBorder="1" applyAlignment="1">
      <alignment horizontal="center" vertical="center"/>
    </xf>
    <xf numFmtId="4" fontId="24" fillId="0" borderId="0" xfId="0" applyNumberFormat="1" applyFont="1" applyBorder="1" applyAlignment="1">
      <alignment vertical="center"/>
    </xf>
    <xf numFmtId="3" fontId="0" fillId="0" borderId="0" xfId="0" applyNumberFormat="1" applyFill="1" applyBorder="1" applyAlignment="1">
      <alignment horizontal="right" vertical="center"/>
    </xf>
    <xf numFmtId="4" fontId="0" fillId="0" borderId="0" xfId="0" quotePrefix="1" applyNumberFormat="1" applyFill="1" applyBorder="1" applyAlignment="1">
      <alignment horizontal="left" vertical="center"/>
    </xf>
    <xf numFmtId="3" fontId="34" fillId="0" borderId="0" xfId="0" applyNumberFormat="1" applyFont="1" applyFill="1" applyBorder="1" applyAlignment="1">
      <alignment horizontal="left" vertical="center"/>
    </xf>
    <xf numFmtId="3" fontId="0" fillId="0" borderId="0" xfId="0" quotePrefix="1" applyNumberFormat="1" applyFill="1" applyBorder="1" applyAlignment="1">
      <alignment horizontal="center" vertical="center"/>
    </xf>
    <xf numFmtId="3" fontId="0" fillId="0" borderId="0" xfId="0" quotePrefix="1" applyNumberFormat="1" applyBorder="1" applyAlignment="1">
      <alignment horizontal="center" vertical="center"/>
    </xf>
    <xf numFmtId="3" fontId="0" fillId="0" borderId="0" xfId="0" quotePrefix="1" applyNumberFormat="1" applyBorder="1" applyAlignment="1">
      <alignment horizontal="right" vertical="center"/>
    </xf>
    <xf numFmtId="3" fontId="26" fillId="0" borderId="0" xfId="0" applyNumberFormat="1" applyFont="1" applyBorder="1" applyAlignment="1">
      <alignment horizontal="center" vertical="center"/>
    </xf>
    <xf numFmtId="3" fontId="28" fillId="0" borderId="0" xfId="0" applyNumberFormat="1" applyFont="1" applyBorder="1" applyAlignment="1">
      <alignment horizontal="center" vertical="center"/>
    </xf>
    <xf numFmtId="4" fontId="27" fillId="0" borderId="0" xfId="0" applyNumberFormat="1" applyFont="1" applyBorder="1" applyAlignment="1">
      <alignment horizontal="right" vertical="center"/>
    </xf>
    <xf numFmtId="169" fontId="0" fillId="0" borderId="0" xfId="0" applyNumberFormat="1" applyBorder="1" applyAlignment="1">
      <alignment horizontal="left" vertical="center"/>
    </xf>
    <xf numFmtId="3" fontId="26" fillId="0" borderId="0" xfId="0" applyNumberFormat="1" applyFont="1" applyBorder="1" applyAlignment="1">
      <alignment horizontal="right" vertical="center"/>
    </xf>
    <xf numFmtId="3" fontId="41" fillId="0" borderId="0" xfId="0" applyNumberFormat="1" applyFont="1" applyBorder="1" applyAlignment="1">
      <alignment vertical="center"/>
    </xf>
    <xf numFmtId="4" fontId="2" fillId="0" borderId="0" xfId="0" applyNumberFormat="1" applyFont="1" applyBorder="1" applyAlignment="1">
      <alignment vertical="center"/>
    </xf>
    <xf numFmtId="4" fontId="32" fillId="0" borderId="0" xfId="0" applyFont="1" applyBorder="1" applyAlignment="1">
      <alignment horizontal="center"/>
    </xf>
    <xf numFmtId="3" fontId="0" fillId="0" borderId="0" xfId="0" applyNumberFormat="1" applyFont="1" applyBorder="1" applyAlignment="1">
      <alignment horizontal="center"/>
    </xf>
    <xf numFmtId="4" fontId="0" fillId="0" borderId="0" xfId="0" applyFont="1" applyBorder="1" applyAlignment="1">
      <alignment horizontal="center" vertical="center"/>
    </xf>
    <xf numFmtId="4" fontId="0" fillId="0" borderId="12" xfId="0" applyFont="1" applyBorder="1" applyAlignment="1">
      <alignment horizontal="center" vertical="center"/>
    </xf>
    <xf numFmtId="4" fontId="0" fillId="0" borderId="13" xfId="0" applyFont="1" applyBorder="1" applyAlignment="1">
      <alignment horizontal="center" vertical="center"/>
    </xf>
    <xf numFmtId="4" fontId="0" fillId="0" borderId="14" xfId="0" applyFont="1" applyBorder="1" applyAlignment="1">
      <alignment horizontal="center" vertical="center"/>
    </xf>
    <xf numFmtId="4" fontId="34" fillId="0" borderId="0" xfId="0" applyFont="1" applyBorder="1" applyAlignment="1">
      <alignment horizontal="center" vertical="center"/>
    </xf>
    <xf numFmtId="4" fontId="0" fillId="0" borderId="0" xfId="0" applyNumberFormat="1" applyBorder="1" applyAlignment="1">
      <alignment horizontal="center" vertical="center"/>
    </xf>
    <xf numFmtId="3" fontId="25" fillId="0" borderId="0" xfId="0" applyNumberFormat="1" applyFont="1" applyBorder="1" applyAlignment="1">
      <alignment vertical="center"/>
    </xf>
    <xf numFmtId="4" fontId="25" fillId="0" borderId="0" xfId="0" applyFont="1" applyBorder="1" applyAlignment="1">
      <alignment vertical="center"/>
    </xf>
    <xf numFmtId="164" fontId="0" fillId="0" borderId="0" xfId="0" applyNumberFormat="1" applyBorder="1" applyAlignment="1">
      <alignment vertical="center"/>
    </xf>
    <xf numFmtId="4" fontId="32" fillId="0" borderId="0" xfId="0" applyFont="1" applyBorder="1" applyAlignment="1">
      <alignment vertical="center"/>
    </xf>
    <xf numFmtId="164" fontId="32" fillId="0" borderId="0" xfId="0" applyNumberFormat="1" applyFont="1" applyBorder="1" applyAlignment="1">
      <alignment horizontal="left" vertical="center"/>
    </xf>
    <xf numFmtId="164" fontId="0" fillId="0" borderId="0" xfId="0" applyNumberFormat="1" applyFont="1" applyBorder="1" applyAlignment="1">
      <alignment horizontal="left"/>
    </xf>
    <xf numFmtId="4" fontId="32" fillId="0" borderId="0" xfId="0" applyFont="1" applyBorder="1" applyAlignment="1"/>
    <xf numFmtId="164" fontId="32" fillId="0" borderId="0" xfId="0" applyNumberFormat="1" applyFont="1" applyBorder="1" applyAlignment="1"/>
    <xf numFmtId="4" fontId="0" fillId="0" borderId="0" xfId="0" quotePrefix="1" applyFont="1" applyBorder="1" applyAlignment="1"/>
    <xf numFmtId="4" fontId="0" fillId="0" borderId="0" xfId="0" applyFont="1" applyBorder="1" applyAlignment="1"/>
    <xf numFmtId="3" fontId="32" fillId="0" borderId="0" xfId="0" applyNumberFormat="1" applyFont="1" applyBorder="1" applyAlignment="1"/>
    <xf numFmtId="164" fontId="0" fillId="0" borderId="0" xfId="0" applyNumberFormat="1" applyFont="1" applyAlignment="1">
      <alignment horizontal="right" vertical="center"/>
    </xf>
    <xf numFmtId="4" fontId="25" fillId="0" borderId="20" xfId="0" applyFont="1" applyBorder="1" applyAlignment="1">
      <alignment horizontal="center" vertical="center"/>
    </xf>
    <xf numFmtId="4" fontId="43" fillId="0" borderId="0" xfId="0" applyFont="1" applyBorder="1" applyAlignment="1">
      <alignment horizontal="right" vertical="center"/>
    </xf>
    <xf numFmtId="4" fontId="34" fillId="0" borderId="12" xfId="0" applyFont="1" applyBorder="1" applyAlignment="1">
      <alignment horizontal="left" vertical="center"/>
    </xf>
    <xf numFmtId="4" fontId="34" fillId="0" borderId="0" xfId="0" applyFont="1" applyBorder="1" applyAlignment="1">
      <alignment horizontal="left" vertical="center"/>
    </xf>
    <xf numFmtId="4" fontId="0" fillId="0" borderId="15" xfId="0" applyFont="1" applyBorder="1" applyAlignment="1">
      <alignment horizontal="left" vertical="center"/>
    </xf>
    <xf numFmtId="4" fontId="0" fillId="0" borderId="16" xfId="0" applyFont="1" applyBorder="1" applyAlignment="1">
      <alignment horizontal="center" vertical="center"/>
    </xf>
    <xf numFmtId="4" fontId="0" fillId="0" borderId="16" xfId="0" applyFont="1" applyBorder="1" applyAlignment="1">
      <alignment horizontal="left" vertical="center"/>
    </xf>
    <xf numFmtId="164" fontId="0" fillId="0" borderId="15" xfId="0" applyNumberFormat="1" applyFont="1" applyBorder="1" applyAlignment="1">
      <alignment horizontal="right" vertical="center"/>
    </xf>
    <xf numFmtId="164" fontId="0" fillId="0" borderId="16" xfId="0" applyNumberFormat="1" applyFont="1" applyBorder="1" applyAlignment="1">
      <alignment horizontal="left" vertical="center"/>
    </xf>
    <xf numFmtId="4" fontId="0" fillId="0" borderId="19" xfId="0" applyFont="1" applyBorder="1" applyAlignment="1">
      <alignment horizontal="center" vertical="center"/>
    </xf>
    <xf numFmtId="4" fontId="0" fillId="0" borderId="15" xfId="0" applyFont="1" applyBorder="1" applyAlignment="1">
      <alignment horizontal="center" vertical="center"/>
    </xf>
    <xf numFmtId="4" fontId="0" fillId="0" borderId="17" xfId="0" applyFont="1" applyBorder="1" applyAlignment="1">
      <alignment horizontal="center" vertical="center"/>
    </xf>
    <xf numFmtId="4" fontId="0" fillId="0" borderId="18" xfId="0" applyFont="1" applyBorder="1" applyAlignment="1">
      <alignment horizontal="right" vertical="center"/>
    </xf>
    <xf numFmtId="164" fontId="0" fillId="0" borderId="12" xfId="0" applyNumberFormat="1" applyFont="1" applyBorder="1" applyAlignment="1">
      <alignment horizontal="left" vertical="center"/>
    </xf>
    <xf numFmtId="3" fontId="0" fillId="0" borderId="16" xfId="0" applyNumberFormat="1" applyFont="1" applyBorder="1" applyAlignment="1">
      <alignment horizontal="left" vertical="center"/>
    </xf>
    <xf numFmtId="9" fontId="0" fillId="0" borderId="16" xfId="39" applyFont="1" applyBorder="1" applyAlignment="1">
      <alignment horizontal="left" vertical="center"/>
    </xf>
    <xf numFmtId="164" fontId="0" fillId="0" borderId="19" xfId="0" applyNumberFormat="1" applyFont="1" applyBorder="1" applyAlignment="1">
      <alignment horizontal="left" vertical="center"/>
    </xf>
    <xf numFmtId="4" fontId="34" fillId="0" borderId="15" xfId="0" applyFont="1" applyBorder="1" applyAlignment="1">
      <alignment horizontal="left" vertical="center"/>
    </xf>
    <xf numFmtId="164" fontId="33" fillId="0" borderId="0" xfId="0" applyNumberFormat="1" applyFont="1" applyBorder="1" applyAlignment="1">
      <alignment horizontal="right" vertical="center"/>
    </xf>
    <xf numFmtId="164" fontId="0" fillId="0" borderId="12" xfId="0" applyNumberFormat="1" applyFont="1" applyBorder="1" applyAlignment="1">
      <alignment horizontal="right" vertical="center"/>
    </xf>
    <xf numFmtId="169" fontId="0" fillId="0" borderId="0" xfId="0" applyNumberFormat="1" applyFont="1" applyBorder="1" applyAlignment="1">
      <alignment horizontal="center" vertical="center"/>
    </xf>
    <xf numFmtId="164" fontId="0" fillId="0" borderId="16" xfId="0" applyNumberFormat="1" applyFont="1" applyBorder="1" applyAlignment="1">
      <alignment horizontal="center" vertical="center"/>
    </xf>
    <xf numFmtId="164" fontId="0" fillId="0" borderId="17" xfId="0" applyNumberFormat="1" applyFont="1" applyBorder="1" applyAlignment="1">
      <alignment horizontal="right" vertical="center"/>
    </xf>
    <xf numFmtId="3" fontId="0" fillId="0" borderId="18"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14" xfId="0" applyNumberFormat="1" applyFont="1" applyBorder="1" applyAlignment="1">
      <alignment horizontal="left" vertical="center"/>
    </xf>
    <xf numFmtId="4" fontId="0" fillId="0" borderId="11" xfId="0" applyFont="1" applyBorder="1" applyAlignment="1">
      <alignment horizontal="center" vertical="center"/>
    </xf>
    <xf numFmtId="3" fontId="0" fillId="0" borderId="19" xfId="0" applyNumberFormat="1" applyFont="1" applyBorder="1" applyAlignment="1">
      <alignment horizontal="left" vertical="center"/>
    </xf>
    <xf numFmtId="4" fontId="34" fillId="0" borderId="12" xfId="0" applyFont="1" applyBorder="1" applyAlignment="1">
      <alignment vertical="center"/>
    </xf>
    <xf numFmtId="4" fontId="0" fillId="0" borderId="19" xfId="0" applyFont="1" applyBorder="1" applyAlignment="1">
      <alignment horizontal="left" vertical="center"/>
    </xf>
    <xf numFmtId="4" fontId="0" fillId="0" borderId="0" xfId="0" applyNumberFormat="1" applyFont="1" applyBorder="1" applyAlignment="1">
      <alignment horizontal="center" vertical="center"/>
    </xf>
    <xf numFmtId="4" fontId="0" fillId="0" borderId="20" xfId="0" applyNumberFormat="1" applyFont="1" applyBorder="1" applyAlignment="1">
      <alignment horizontal="center" vertical="center"/>
    </xf>
    <xf numFmtId="164" fontId="0" fillId="0" borderId="13" xfId="0" applyNumberFormat="1" applyFont="1" applyBorder="1" applyAlignment="1">
      <alignment horizontal="center" vertical="center"/>
    </xf>
    <xf numFmtId="164" fontId="0" fillId="0" borderId="14" xfId="0" applyNumberFormat="1" applyFont="1" applyBorder="1" applyAlignment="1">
      <alignment horizontal="center" vertical="center"/>
    </xf>
    <xf numFmtId="4" fontId="45" fillId="0" borderId="0" xfId="0" applyFont="1" applyFill="1" applyBorder="1" applyAlignment="1">
      <alignment horizontal="left"/>
    </xf>
    <xf numFmtId="4" fontId="46" fillId="0" borderId="0" xfId="0" applyFont="1" applyFill="1" applyBorder="1" applyAlignment="1"/>
    <xf numFmtId="4" fontId="0" fillId="0" borderId="0" xfId="0" applyFill="1" applyBorder="1" applyAlignment="1"/>
    <xf numFmtId="4" fontId="47" fillId="17" borderId="0" xfId="0" applyFont="1" applyFill="1" applyBorder="1" applyAlignment="1">
      <alignment horizontal="left"/>
    </xf>
    <xf numFmtId="4" fontId="46" fillId="17" borderId="0" xfId="0" applyFont="1" applyFill="1" applyBorder="1" applyAlignment="1"/>
    <xf numFmtId="4" fontId="0" fillId="0" borderId="0" xfId="0" applyBorder="1" applyAlignment="1"/>
    <xf numFmtId="4" fontId="46" fillId="0" borderId="0" xfId="0" applyFont="1" applyBorder="1" applyAlignment="1"/>
    <xf numFmtId="4" fontId="47" fillId="18" borderId="0" xfId="0" applyFont="1" applyFill="1" applyBorder="1" applyAlignment="1">
      <alignment horizontal="left"/>
    </xf>
    <xf numFmtId="4" fontId="46" fillId="18" borderId="0" xfId="0" applyFont="1" applyFill="1" applyBorder="1" applyAlignment="1"/>
    <xf numFmtId="4" fontId="45" fillId="0" borderId="0" xfId="0" quotePrefix="1" applyFont="1" applyBorder="1" applyAlignment="1">
      <alignment horizontal="left"/>
    </xf>
    <xf numFmtId="4" fontId="48" fillId="17" borderId="0" xfId="0" applyFont="1" applyFill="1" applyBorder="1" applyAlignment="1">
      <alignment horizontal="right"/>
    </xf>
    <xf numFmtId="4" fontId="46" fillId="17" borderId="0" xfId="0" applyFont="1" applyFill="1" applyBorder="1" applyAlignment="1">
      <alignment horizontal="left"/>
    </xf>
    <xf numFmtId="4" fontId="45" fillId="0" borderId="0" xfId="0" applyFont="1" applyBorder="1" applyAlignment="1">
      <alignment horizontal="right"/>
    </xf>
    <xf numFmtId="3" fontId="46" fillId="17" borderId="0" xfId="0" applyNumberFormat="1" applyFont="1" applyFill="1" applyBorder="1" applyAlignment="1">
      <alignment horizontal="center"/>
    </xf>
    <xf numFmtId="4" fontId="28" fillId="0" borderId="0" xfId="0" applyFont="1" applyBorder="1" applyAlignment="1"/>
    <xf numFmtId="4" fontId="49" fillId="18" borderId="20" xfId="0" applyFont="1" applyFill="1" applyBorder="1" applyAlignment="1">
      <alignment horizontal="center"/>
    </xf>
    <xf numFmtId="3" fontId="49" fillId="18" borderId="0" xfId="0" applyNumberFormat="1" applyFont="1" applyFill="1" applyBorder="1" applyAlignment="1">
      <alignment horizontal="center"/>
    </xf>
    <xf numFmtId="4" fontId="28" fillId="0" borderId="22" xfId="0" applyFont="1" applyBorder="1" applyAlignment="1">
      <alignment horizontal="center"/>
    </xf>
    <xf numFmtId="4" fontId="28" fillId="0" borderId="23" xfId="0" applyFont="1" applyBorder="1" applyAlignment="1">
      <alignment horizontal="center"/>
    </xf>
    <xf numFmtId="4" fontId="28" fillId="0" borderId="0" xfId="0" applyFont="1" applyBorder="1" applyAlignment="1">
      <alignment horizontal="center"/>
    </xf>
    <xf numFmtId="4" fontId="28" fillId="0" borderId="24" xfId="0" applyFont="1" applyBorder="1" applyAlignment="1">
      <alignment horizontal="right"/>
    </xf>
    <xf numFmtId="3" fontId="28" fillId="0" borderId="25" xfId="0" applyNumberFormat="1" applyFont="1" applyFill="1" applyBorder="1" applyAlignment="1">
      <alignment horizontal="center"/>
    </xf>
    <xf numFmtId="3" fontId="28" fillId="19" borderId="25" xfId="0" applyNumberFormat="1" applyFont="1" applyFill="1" applyBorder="1" applyAlignment="1">
      <alignment horizontal="center"/>
    </xf>
    <xf numFmtId="4" fontId="28" fillId="0" borderId="26" xfId="0" applyFont="1" applyBorder="1" applyAlignment="1">
      <alignment horizontal="right"/>
    </xf>
    <xf numFmtId="3" fontId="28" fillId="0" borderId="27" xfId="0" applyNumberFormat="1" applyFont="1" applyFill="1" applyBorder="1" applyAlignment="1">
      <alignment horizontal="center"/>
    </xf>
    <xf numFmtId="3" fontId="28" fillId="19" borderId="27" xfId="0" applyNumberFormat="1" applyFont="1" applyFill="1" applyBorder="1" applyAlignment="1">
      <alignment horizontal="center"/>
    </xf>
    <xf numFmtId="164" fontId="28" fillId="0" borderId="27" xfId="0" applyNumberFormat="1" applyFont="1" applyFill="1" applyBorder="1" applyAlignment="1">
      <alignment horizontal="center"/>
    </xf>
    <xf numFmtId="164" fontId="28" fillId="19" borderId="27" xfId="0" applyNumberFormat="1" applyFont="1" applyFill="1" applyBorder="1" applyAlignment="1">
      <alignment horizontal="center"/>
    </xf>
    <xf numFmtId="4" fontId="51" fillId="0" borderId="26" xfId="0" applyFont="1" applyBorder="1" applyAlignment="1">
      <alignment horizontal="right"/>
    </xf>
    <xf numFmtId="4" fontId="28" fillId="0" borderId="28" xfId="0" applyFont="1" applyBorder="1" applyAlignment="1">
      <alignment horizontal="right"/>
    </xf>
    <xf numFmtId="164" fontId="28" fillId="19" borderId="29" xfId="0" applyNumberFormat="1" applyFont="1" applyFill="1" applyBorder="1" applyAlignment="1">
      <alignment horizontal="center"/>
    </xf>
    <xf numFmtId="164" fontId="28" fillId="0" borderId="29" xfId="0" applyNumberFormat="1" applyFont="1" applyFill="1" applyBorder="1" applyAlignment="1">
      <alignment horizontal="center"/>
    </xf>
    <xf numFmtId="4" fontId="45" fillId="0" borderId="0" xfId="0" quotePrefix="1" applyNumberFormat="1" applyFont="1" applyBorder="1" applyAlignment="1">
      <alignment horizontal="left"/>
    </xf>
    <xf numFmtId="4" fontId="45" fillId="0" borderId="0" xfId="0" applyNumberFormat="1" applyFont="1" applyBorder="1" applyAlignment="1">
      <alignment horizontal="right"/>
    </xf>
    <xf numFmtId="4" fontId="0" fillId="0" borderId="0" xfId="0" applyNumberFormat="1" applyBorder="1" applyAlignment="1"/>
    <xf numFmtId="4" fontId="28" fillId="0" borderId="0" xfId="0" applyNumberFormat="1" applyFont="1" applyBorder="1" applyAlignment="1"/>
    <xf numFmtId="4" fontId="49" fillId="18" borderId="20" xfId="0" applyNumberFormat="1" applyFont="1" applyFill="1" applyBorder="1" applyAlignment="1">
      <alignment horizontal="center"/>
    </xf>
    <xf numFmtId="4" fontId="28" fillId="0" borderId="0" xfId="0" applyNumberFormat="1" applyFont="1" applyFill="1" applyBorder="1" applyAlignment="1">
      <alignment horizontal="center"/>
    </xf>
    <xf numFmtId="4" fontId="28" fillId="0" borderId="0" xfId="0" applyNumberFormat="1" applyFont="1" applyBorder="1" applyAlignment="1">
      <alignment horizontal="center"/>
    </xf>
    <xf numFmtId="3" fontId="49" fillId="18" borderId="20" xfId="0" applyNumberFormat="1" applyFont="1" applyFill="1" applyBorder="1" applyAlignment="1">
      <alignment horizontal="center"/>
    </xf>
    <xf numFmtId="4" fontId="28" fillId="19" borderId="0" xfId="0" applyFont="1" applyFill="1" applyBorder="1" applyAlignment="1">
      <alignment horizontal="right"/>
    </xf>
    <xf numFmtId="3" fontId="28" fillId="19" borderId="0" xfId="0" applyNumberFormat="1" applyFont="1" applyFill="1" applyBorder="1" applyAlignment="1">
      <alignment horizontal="center"/>
    </xf>
    <xf numFmtId="3" fontId="0" fillId="0" borderId="0" xfId="0" applyNumberFormat="1" applyAlignment="1"/>
    <xf numFmtId="4" fontId="0" fillId="0" borderId="0" xfId="0" quotePrefix="1" applyNumberFormat="1" applyBorder="1" applyAlignment="1"/>
    <xf numFmtId="3" fontId="0" fillId="0" borderId="0" xfId="0" applyNumberFormat="1" applyBorder="1" applyAlignment="1"/>
    <xf numFmtId="4" fontId="28" fillId="0" borderId="0" xfId="0" quotePrefix="1" applyNumberFormat="1" applyFont="1" applyBorder="1" applyAlignment="1">
      <alignment horizontal="left"/>
    </xf>
    <xf numFmtId="164" fontId="28" fillId="19" borderId="0" xfId="0" applyNumberFormat="1" applyFont="1" applyFill="1" applyBorder="1" applyAlignment="1">
      <alignment horizontal="center"/>
    </xf>
    <xf numFmtId="4" fontId="51" fillId="19" borderId="0" xfId="0" applyFont="1" applyFill="1" applyBorder="1" applyAlignment="1">
      <alignment horizontal="right"/>
    </xf>
    <xf numFmtId="164" fontId="0" fillId="0" borderId="0" xfId="0" applyNumberFormat="1" applyAlignment="1"/>
    <xf numFmtId="4" fontId="25" fillId="0" borderId="0" xfId="0" quotePrefix="1" applyFont="1" applyBorder="1" applyAlignment="1">
      <alignment horizontal="right"/>
    </xf>
    <xf numFmtId="4" fontId="28" fillId="0" borderId="10" xfId="0" applyFont="1" applyBorder="1" applyAlignment="1">
      <alignment horizontal="right"/>
    </xf>
    <xf numFmtId="164" fontId="28" fillId="0" borderId="21" xfId="0" applyNumberFormat="1" applyFont="1" applyBorder="1" applyAlignment="1">
      <alignment horizontal="center"/>
    </xf>
    <xf numFmtId="164" fontId="28" fillId="0" borderId="11" xfId="0" applyNumberFormat="1" applyFont="1" applyBorder="1" applyAlignment="1">
      <alignment horizontal="center"/>
    </xf>
    <xf numFmtId="164" fontId="0" fillId="0" borderId="0" xfId="0" applyNumberFormat="1" applyBorder="1" applyAlignment="1"/>
    <xf numFmtId="4" fontId="28" fillId="0" borderId="0" xfId="0" applyFont="1" applyBorder="1" applyAlignment="1">
      <alignment horizontal="right"/>
    </xf>
    <xf numFmtId="164" fontId="28" fillId="0" borderId="0" xfId="0" applyNumberFormat="1" applyFont="1" applyBorder="1" applyAlignment="1">
      <alignment horizontal="center"/>
    </xf>
    <xf numFmtId="4" fontId="0" fillId="0" borderId="12" xfId="0" applyBorder="1" applyAlignment="1">
      <alignment horizontal="right"/>
    </xf>
    <xf numFmtId="164" fontId="0" fillId="0" borderId="14" xfId="0" applyNumberFormat="1" applyBorder="1" applyAlignment="1"/>
    <xf numFmtId="164" fontId="0" fillId="0" borderId="30" xfId="0" applyNumberFormat="1" applyBorder="1" applyAlignment="1">
      <alignment horizontal="center"/>
    </xf>
    <xf numFmtId="164" fontId="0" fillId="0" borderId="31"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alignment horizontal="left"/>
    </xf>
    <xf numFmtId="166" fontId="0" fillId="0" borderId="0" xfId="0" applyNumberFormat="1" applyBorder="1" applyAlignment="1"/>
    <xf numFmtId="4" fontId="0" fillId="0" borderId="15" xfId="0" applyBorder="1" applyAlignment="1">
      <alignment horizontal="right"/>
    </xf>
    <xf numFmtId="3" fontId="0" fillId="0" borderId="16" xfId="0" applyNumberFormat="1" applyBorder="1" applyAlignment="1"/>
    <xf numFmtId="4" fontId="0" fillId="0" borderId="17" xfId="0" applyFill="1" applyBorder="1" applyAlignment="1">
      <alignment horizontal="right"/>
    </xf>
    <xf numFmtId="164" fontId="0" fillId="0" borderId="19" xfId="0" applyNumberFormat="1" applyBorder="1" applyAlignment="1">
      <alignment horizontal="right"/>
    </xf>
    <xf numFmtId="4" fontId="0" fillId="0" borderId="0" xfId="0" applyBorder="1" applyAlignment="1">
      <alignment horizontal="right"/>
    </xf>
    <xf numFmtId="4" fontId="0" fillId="0" borderId="30" xfId="0" applyBorder="1" applyAlignment="1"/>
    <xf numFmtId="4" fontId="0" fillId="0" borderId="31" xfId="0" applyBorder="1" applyAlignment="1"/>
    <xf numFmtId="4" fontId="6" fillId="0" borderId="30" xfId="0" applyFont="1" applyBorder="1" applyAlignment="1">
      <alignment horizontal="center"/>
    </xf>
    <xf numFmtId="4" fontId="0" fillId="0" borderId="10" xfId="0" applyBorder="1" applyAlignment="1">
      <alignment horizontal="right"/>
    </xf>
    <xf numFmtId="164" fontId="0" fillId="0" borderId="11" xfId="0" applyNumberFormat="1" applyBorder="1" applyAlignment="1"/>
    <xf numFmtId="4" fontId="28" fillId="0" borderId="20" xfId="0" applyFont="1" applyBorder="1" applyAlignment="1">
      <alignment horizontal="right"/>
    </xf>
    <xf numFmtId="4" fontId="0" fillId="0" borderId="20" xfId="0" applyBorder="1" applyAlignment="1"/>
    <xf numFmtId="164" fontId="28" fillId="0" borderId="20" xfId="0" applyNumberFormat="1" applyFont="1" applyBorder="1" applyAlignment="1">
      <alignment horizontal="center"/>
    </xf>
    <xf numFmtId="4" fontId="28" fillId="0" borderId="13" xfId="0" applyNumberFormat="1" applyFont="1" applyBorder="1" applyAlignment="1">
      <alignment horizontal="center"/>
    </xf>
    <xf numFmtId="4" fontId="0" fillId="0" borderId="13" xfId="0" applyNumberFormat="1" applyBorder="1" applyAlignment="1"/>
    <xf numFmtId="4" fontId="0" fillId="0" borderId="14" xfId="0" applyNumberFormat="1" applyBorder="1" applyAlignment="1"/>
    <xf numFmtId="4" fontId="28" fillId="0" borderId="17" xfId="0" applyFont="1" applyBorder="1" applyAlignment="1">
      <alignment horizontal="left"/>
    </xf>
    <xf numFmtId="164" fontId="28" fillId="0" borderId="18" xfId="0" applyNumberFormat="1" applyFont="1" applyBorder="1" applyAlignment="1">
      <alignment horizontal="center"/>
    </xf>
    <xf numFmtId="4" fontId="28" fillId="0" borderId="18" xfId="0" applyNumberFormat="1" applyFont="1" applyBorder="1" applyAlignment="1">
      <alignment horizontal="center"/>
    </xf>
    <xf numFmtId="4" fontId="0" fillId="0" borderId="18" xfId="0" applyNumberFormat="1" applyBorder="1" applyAlignment="1"/>
    <xf numFmtId="4" fontId="0" fillId="0" borderId="19" xfId="0" applyNumberFormat="1" applyBorder="1" applyAlignment="1"/>
    <xf numFmtId="4" fontId="0" fillId="0" borderId="12" xfId="0" applyNumberFormat="1" applyBorder="1" applyAlignment="1"/>
    <xf numFmtId="4" fontId="0" fillId="0" borderId="13" xfId="0" applyNumberFormat="1" applyBorder="1" applyAlignment="1">
      <alignment horizontal="center"/>
    </xf>
    <xf numFmtId="4" fontId="0" fillId="0" borderId="13" xfId="0" applyNumberFormat="1" applyBorder="1" applyAlignment="1">
      <alignment horizontal="left"/>
    </xf>
    <xf numFmtId="4" fontId="0" fillId="0" borderId="32" xfId="0" applyNumberFormat="1" applyBorder="1" applyAlignment="1"/>
    <xf numFmtId="4" fontId="0" fillId="0" borderId="20" xfId="0" applyNumberFormat="1" applyBorder="1" applyAlignment="1">
      <alignment horizontal="center"/>
    </xf>
    <xf numFmtId="3" fontId="0" fillId="0" borderId="20" xfId="0" applyNumberFormat="1" applyBorder="1" applyAlignment="1">
      <alignment horizontal="center"/>
    </xf>
    <xf numFmtId="4" fontId="0" fillId="0" borderId="33" xfId="0" applyNumberFormat="1" applyBorder="1" applyAlignment="1">
      <alignment horizontal="center"/>
    </xf>
    <xf numFmtId="4" fontId="45" fillId="0" borderId="0" xfId="0" applyNumberFormat="1" applyFont="1" applyBorder="1" applyAlignment="1">
      <alignment horizontal="center"/>
    </xf>
    <xf numFmtId="4" fontId="0" fillId="0" borderId="15" xfId="0" applyNumberFormat="1" applyBorder="1" applyAlignment="1">
      <alignment horizontal="center"/>
    </xf>
    <xf numFmtId="3" fontId="0" fillId="0" borderId="0" xfId="0" applyNumberFormat="1" applyBorder="1" applyAlignment="1">
      <alignment horizontal="center"/>
    </xf>
    <xf numFmtId="4" fontId="0" fillId="0" borderId="0" xfId="0" applyNumberFormat="1" applyBorder="1" applyAlignment="1">
      <alignment horizontal="center"/>
    </xf>
    <xf numFmtId="4" fontId="0" fillId="0" borderId="0" xfId="0" applyBorder="1" applyAlignment="1">
      <alignment horizontal="center"/>
    </xf>
    <xf numFmtId="4" fontId="45" fillId="0" borderId="0" xfId="0" applyNumberFormat="1" applyFont="1" applyBorder="1" applyAlignment="1">
      <alignment horizontal="left"/>
    </xf>
    <xf numFmtId="4" fontId="0" fillId="0" borderId="17" xfId="0" applyNumberFormat="1" applyBorder="1" applyAlignment="1">
      <alignment horizontal="left"/>
    </xf>
    <xf numFmtId="3" fontId="0" fillId="0" borderId="18" xfId="0" applyNumberFormat="1" applyBorder="1" applyAlignment="1">
      <alignment horizontal="left"/>
    </xf>
    <xf numFmtId="164" fontId="0" fillId="0" borderId="18" xfId="0" applyNumberFormat="1" applyBorder="1" applyAlignment="1">
      <alignment horizontal="left"/>
    </xf>
    <xf numFmtId="4" fontId="0" fillId="0" borderId="18" xfId="0" applyNumberFormat="1" applyBorder="1" applyAlignment="1">
      <alignment horizontal="left"/>
    </xf>
    <xf numFmtId="4" fontId="0" fillId="0" borderId="19" xfId="0" applyNumberFormat="1" applyBorder="1" applyAlignment="1">
      <alignment horizontal="left"/>
    </xf>
    <xf numFmtId="4" fontId="0" fillId="0" borderId="0" xfId="0" applyNumberFormat="1" applyBorder="1" applyAlignment="1">
      <alignment horizontal="left"/>
    </xf>
    <xf numFmtId="4" fontId="0" fillId="0" borderId="0" xfId="0" applyBorder="1" applyAlignment="1">
      <alignment horizontal="left"/>
    </xf>
    <xf numFmtId="4" fontId="28" fillId="0" borderId="12" xfId="0" applyFont="1" applyBorder="1" applyAlignment="1">
      <alignment horizontal="right"/>
    </xf>
    <xf numFmtId="164" fontId="0" fillId="0" borderId="13" xfId="0" applyNumberFormat="1" applyBorder="1" applyAlignment="1">
      <alignment horizontal="left"/>
    </xf>
    <xf numFmtId="4" fontId="0" fillId="0" borderId="13" xfId="0" applyBorder="1" applyAlignment="1">
      <alignment horizontal="right"/>
    </xf>
    <xf numFmtId="3" fontId="0" fillId="0" borderId="14" xfId="0" applyNumberFormat="1" applyBorder="1" applyAlignment="1">
      <alignment horizontal="left"/>
    </xf>
    <xf numFmtId="165" fontId="0" fillId="0" borderId="0" xfId="0" applyNumberFormat="1" applyBorder="1" applyAlignment="1"/>
    <xf numFmtId="4" fontId="28" fillId="0" borderId="15" xfId="0" applyFont="1" applyBorder="1" applyAlignment="1">
      <alignment horizontal="right"/>
    </xf>
    <xf numFmtId="3" fontId="0" fillId="0" borderId="16" xfId="0" applyNumberFormat="1" applyBorder="1" applyAlignment="1">
      <alignment horizontal="left"/>
    </xf>
    <xf numFmtId="4" fontId="0" fillId="0" borderId="16" xfId="0" applyBorder="1" applyAlignment="1"/>
    <xf numFmtId="4" fontId="0" fillId="0" borderId="18" xfId="0" applyBorder="1" applyAlignment="1"/>
    <xf numFmtId="4" fontId="0" fillId="0" borderId="19" xfId="0" applyBorder="1" applyAlignment="1"/>
    <xf numFmtId="4" fontId="45" fillId="0" borderId="0" xfId="0" applyFont="1" applyAlignment="1">
      <alignment horizontal="right"/>
    </xf>
    <xf numFmtId="4" fontId="51" fillId="0" borderId="15" xfId="0" applyFont="1" applyBorder="1" applyAlignment="1">
      <alignment horizontal="right"/>
    </xf>
    <xf numFmtId="4" fontId="0" fillId="0" borderId="16" xfId="0" applyBorder="1"/>
    <xf numFmtId="4" fontId="6" fillId="0" borderId="0" xfId="0" applyFont="1" applyBorder="1" applyAlignment="1">
      <alignment horizontal="center"/>
    </xf>
    <xf numFmtId="4" fontId="6" fillId="0" borderId="16"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4" fontId="53" fillId="0" borderId="0" xfId="0" applyFont="1" applyBorder="1" applyAlignment="1"/>
    <xf numFmtId="3" fontId="0" fillId="0" borderId="0" xfId="0" applyNumberFormat="1" applyBorder="1" applyAlignment="1">
      <alignment horizontal="left"/>
    </xf>
    <xf numFmtId="4" fontId="51" fillId="0" borderId="0" xfId="0" applyFont="1" applyFill="1" applyBorder="1" applyAlignment="1">
      <alignment horizontal="right"/>
    </xf>
    <xf numFmtId="4" fontId="0" fillId="0" borderId="10" xfId="0" applyBorder="1" applyAlignment="1">
      <alignment horizontal="right" vertical="center"/>
    </xf>
    <xf numFmtId="164" fontId="0" fillId="0" borderId="11" xfId="0" applyNumberFormat="1" applyBorder="1" applyAlignment="1">
      <alignment horizontal="left" vertical="center"/>
    </xf>
    <xf numFmtId="164" fontId="0" fillId="0" borderId="11" xfId="0" applyNumberFormat="1" applyBorder="1" applyAlignment="1">
      <alignment horizontal="left"/>
    </xf>
    <xf numFmtId="4" fontId="25" fillId="0" borderId="0" xfId="0" applyFont="1" applyFill="1" applyBorder="1" applyAlignment="1">
      <alignment horizontal="right"/>
    </xf>
    <xf numFmtId="4" fontId="6" fillId="0" borderId="0" xfId="0" applyFont="1" applyBorder="1" applyAlignment="1">
      <alignment horizontal="right"/>
    </xf>
    <xf numFmtId="3" fontId="0" fillId="0" borderId="0" xfId="0" applyNumberFormat="1" applyBorder="1" applyAlignment="1">
      <alignment horizontal="right"/>
    </xf>
    <xf numFmtId="4" fontId="45" fillId="0" borderId="0" xfId="0" quotePrefix="1" applyFont="1" applyBorder="1" applyAlignment="1">
      <alignment horizontal="right"/>
    </xf>
    <xf numFmtId="4" fontId="1" fillId="0" borderId="0" xfId="0" applyFont="1" applyBorder="1" applyAlignment="1">
      <alignment horizontal="center"/>
    </xf>
    <xf numFmtId="3" fontId="1" fillId="0" borderId="0" xfId="0" applyNumberFormat="1" applyFont="1" applyBorder="1" applyAlignment="1">
      <alignment horizontal="right"/>
    </xf>
    <xf numFmtId="3" fontId="1" fillId="0" borderId="0" xfId="0" applyNumberFormat="1" applyFont="1" applyBorder="1" applyAlignment="1">
      <alignment horizontal="center"/>
    </xf>
    <xf numFmtId="4" fontId="1" fillId="0" borderId="0" xfId="0" applyFont="1" applyBorder="1" applyAlignment="1"/>
    <xf numFmtId="164" fontId="1" fillId="0" borderId="0" xfId="0" applyNumberFormat="1" applyFont="1" applyBorder="1" applyAlignment="1">
      <alignment horizontal="center"/>
    </xf>
    <xf numFmtId="3" fontId="0" fillId="19" borderId="20" xfId="0" applyNumberFormat="1" applyFill="1" applyBorder="1" applyAlignment="1"/>
    <xf numFmtId="4" fontId="0" fillId="19" borderId="20" xfId="0" quotePrefix="1" applyFill="1" applyBorder="1" applyAlignment="1"/>
    <xf numFmtId="4" fontId="28" fillId="19" borderId="20" xfId="0" quotePrefix="1" applyFont="1" applyFill="1" applyBorder="1" applyAlignment="1">
      <alignment horizontal="left"/>
    </xf>
    <xf numFmtId="4" fontId="28" fillId="19" borderId="20" xfId="0" applyFont="1" applyFill="1" applyBorder="1" applyAlignment="1">
      <alignment horizontal="center"/>
    </xf>
    <xf numFmtId="4" fontId="0" fillId="19" borderId="20" xfId="0" applyFill="1" applyBorder="1" applyAlignment="1"/>
    <xf numFmtId="164" fontId="0" fillId="19" borderId="20" xfId="0" applyNumberFormat="1" applyFill="1" applyBorder="1" applyAlignment="1"/>
    <xf numFmtId="3" fontId="28" fillId="0" borderId="0" xfId="0" applyNumberFormat="1" applyFont="1" applyFill="1" applyBorder="1" applyAlignment="1">
      <alignment horizontal="center"/>
    </xf>
    <xf numFmtId="164" fontId="28" fillId="0" borderId="0" xfId="0" applyNumberFormat="1" applyFont="1" applyFill="1" applyBorder="1" applyAlignment="1">
      <alignment horizontal="center"/>
    </xf>
    <xf numFmtId="4" fontId="28" fillId="0" borderId="0" xfId="0" applyFont="1" applyFill="1" applyBorder="1" applyAlignment="1">
      <alignment horizontal="right"/>
    </xf>
    <xf numFmtId="3" fontId="0" fillId="0" borderId="0" xfId="0" applyNumberFormat="1" applyFill="1" applyBorder="1" applyAlignment="1"/>
    <xf numFmtId="4" fontId="0" fillId="0" borderId="0" xfId="0" quotePrefix="1" applyFill="1" applyBorder="1" applyAlignment="1"/>
    <xf numFmtId="4" fontId="28" fillId="0" borderId="0" xfId="0" quotePrefix="1" applyFont="1" applyFill="1" applyBorder="1" applyAlignment="1">
      <alignment horizontal="left"/>
    </xf>
    <xf numFmtId="4" fontId="28" fillId="0" borderId="0" xfId="0" applyFont="1" applyFill="1" applyBorder="1" applyAlignment="1">
      <alignment horizontal="center"/>
    </xf>
    <xf numFmtId="164" fontId="0" fillId="0" borderId="0" xfId="0" applyNumberFormat="1" applyFill="1" applyBorder="1" applyAlignment="1"/>
    <xf numFmtId="4" fontId="0" fillId="0" borderId="0" xfId="0" applyNumberFormat="1" applyFill="1" applyBorder="1" applyAlignment="1"/>
    <xf numFmtId="164" fontId="28" fillId="0" borderId="10" xfId="0" applyNumberFormat="1" applyFont="1" applyBorder="1" applyAlignment="1">
      <alignment horizontal="center"/>
    </xf>
    <xf numFmtId="164" fontId="28" fillId="20" borderId="35" xfId="0" applyNumberFormat="1" applyFont="1" applyFill="1" applyBorder="1" applyAlignment="1">
      <alignment horizontal="center"/>
    </xf>
    <xf numFmtId="3" fontId="0" fillId="0" borderId="0" xfId="0" applyNumberFormat="1" applyFont="1" applyBorder="1" applyAlignment="1">
      <alignment horizontal="center" vertical="center"/>
    </xf>
    <xf numFmtId="4" fontId="31" fillId="0" borderId="0" xfId="0" quotePrefix="1" applyFont="1" applyFill="1" applyBorder="1" applyAlignment="1">
      <alignment vertical="center"/>
    </xf>
    <xf numFmtId="4" fontId="32" fillId="0" borderId="0" xfId="0" applyFont="1" applyFill="1" applyBorder="1" applyAlignment="1">
      <alignment vertical="center"/>
    </xf>
    <xf numFmtId="4" fontId="32" fillId="0" borderId="0" xfId="0" applyFont="1" applyFill="1" applyBorder="1" applyAlignment="1">
      <alignment horizontal="center" vertical="center"/>
    </xf>
    <xf numFmtId="4" fontId="32" fillId="0" borderId="0" xfId="0" quotePrefix="1" applyFont="1" applyFill="1" applyBorder="1" applyAlignment="1">
      <alignment vertical="center"/>
    </xf>
    <xf numFmtId="4" fontId="31" fillId="0" borderId="0" xfId="0" applyFont="1" applyFill="1" applyBorder="1" applyAlignment="1">
      <alignment vertical="center"/>
    </xf>
    <xf numFmtId="4" fontId="51" fillId="0" borderId="20" xfId="0" applyFont="1" applyFill="1" applyBorder="1" applyAlignment="1">
      <alignment horizontal="right" vertical="center"/>
    </xf>
    <xf numFmtId="4" fontId="55" fillId="0" borderId="36" xfId="0" applyFont="1" applyBorder="1" applyAlignment="1">
      <alignment horizontal="center" vertical="center"/>
    </xf>
    <xf numFmtId="4" fontId="32" fillId="0" borderId="20" xfId="0" applyFont="1" applyFill="1" applyBorder="1" applyAlignment="1">
      <alignment horizontal="center" vertical="center"/>
    </xf>
    <xf numFmtId="4" fontId="32" fillId="0" borderId="0" xfId="0" applyFont="1" applyFill="1" applyBorder="1" applyAlignment="1">
      <alignment horizontal="right" vertical="center"/>
    </xf>
    <xf numFmtId="4" fontId="32" fillId="0" borderId="30" xfId="0" applyFont="1" applyFill="1" applyBorder="1" applyAlignment="1">
      <alignment horizontal="right" vertical="center"/>
    </xf>
    <xf numFmtId="169" fontId="32" fillId="0" borderId="30" xfId="0" applyNumberFormat="1" applyFont="1" applyFill="1" applyBorder="1" applyAlignment="1">
      <alignment horizontal="center" vertical="center"/>
    </xf>
    <xf numFmtId="169" fontId="32" fillId="0" borderId="0" xfId="0" applyNumberFormat="1" applyFont="1" applyFill="1" applyBorder="1" applyAlignment="1">
      <alignment horizontal="center" vertical="center"/>
    </xf>
    <xf numFmtId="4" fontId="32" fillId="0" borderId="36" xfId="0" applyFont="1" applyFill="1" applyBorder="1" applyAlignment="1">
      <alignment horizontal="right" vertical="center"/>
    </xf>
    <xf numFmtId="169" fontId="32" fillId="0" borderId="36" xfId="0" applyNumberFormat="1" applyFont="1" applyFill="1" applyBorder="1" applyAlignment="1">
      <alignment horizontal="center" vertical="center"/>
    </xf>
    <xf numFmtId="169" fontId="32" fillId="0" borderId="20" xfId="0" applyNumberFormat="1" applyFont="1" applyFill="1" applyBorder="1" applyAlignment="1">
      <alignment horizontal="center" vertical="center"/>
    </xf>
    <xf numFmtId="4" fontId="25" fillId="0" borderId="36" xfId="0" applyFont="1" applyFill="1" applyBorder="1" applyAlignment="1">
      <alignment horizontal="right" vertical="center"/>
    </xf>
    <xf numFmtId="3" fontId="32" fillId="0" borderId="30"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xf>
    <xf numFmtId="3" fontId="32" fillId="0" borderId="36" xfId="0" applyNumberFormat="1" applyFont="1" applyFill="1" applyBorder="1" applyAlignment="1">
      <alignment horizontal="center" vertical="center"/>
    </xf>
    <xf numFmtId="3" fontId="32" fillId="0" borderId="20" xfId="0" applyNumberFormat="1" applyFont="1" applyFill="1" applyBorder="1" applyAlignment="1">
      <alignment horizontal="center" vertical="center"/>
    </xf>
    <xf numFmtId="3" fontId="32" fillId="0" borderId="0" xfId="0" applyNumberFormat="1" applyFont="1" applyFill="1" applyBorder="1" applyAlignment="1">
      <alignment horizontal="right" vertical="center"/>
    </xf>
    <xf numFmtId="4" fontId="32" fillId="0" borderId="30" xfId="0" applyNumberFormat="1" applyFont="1" applyFill="1" applyBorder="1" applyAlignment="1">
      <alignment horizontal="center" vertical="center"/>
    </xf>
    <xf numFmtId="164" fontId="32" fillId="0" borderId="0" xfId="0" applyNumberFormat="1" applyFont="1" applyFill="1" applyBorder="1" applyAlignment="1">
      <alignment horizontal="center" vertical="center"/>
    </xf>
    <xf numFmtId="4" fontId="32" fillId="0" borderId="0" xfId="0" quotePrefix="1" applyFont="1" applyFill="1" applyBorder="1" applyAlignment="1">
      <alignment horizontal="left" vertical="center"/>
    </xf>
    <xf numFmtId="4" fontId="32" fillId="0" borderId="36" xfId="0" applyNumberFormat="1" applyFont="1" applyFill="1" applyBorder="1" applyAlignment="1">
      <alignment horizontal="center" vertical="center"/>
    </xf>
    <xf numFmtId="4" fontId="32" fillId="0" borderId="0" xfId="0" applyFont="1" applyFill="1" applyBorder="1" applyAlignment="1">
      <alignment horizontal="left" vertical="center"/>
    </xf>
    <xf numFmtId="3" fontId="32" fillId="0" borderId="0" xfId="0" applyNumberFormat="1" applyFont="1" applyFill="1" applyBorder="1" applyAlignment="1">
      <alignment horizontal="left" vertical="center"/>
    </xf>
    <xf numFmtId="4" fontId="56" fillId="0" borderId="0" xfId="0" quotePrefix="1" applyFont="1" applyFill="1" applyBorder="1" applyAlignment="1">
      <alignment vertical="center"/>
    </xf>
    <xf numFmtId="4" fontId="25" fillId="0" borderId="0" xfId="0" applyFont="1" applyFill="1" applyBorder="1" applyAlignment="1">
      <alignment horizontal="right" vertical="center"/>
    </xf>
    <xf numFmtId="4" fontId="25" fillId="0" borderId="0" xfId="0" applyFont="1" applyFill="1" applyBorder="1" applyAlignment="1">
      <alignment vertical="center"/>
    </xf>
    <xf numFmtId="4" fontId="51" fillId="0" borderId="0" xfId="0" applyFont="1" applyAlignment="1">
      <alignment horizontal="right" vertical="center"/>
    </xf>
    <xf numFmtId="4" fontId="25" fillId="0" borderId="0" xfId="0" applyFont="1" applyBorder="1" applyAlignment="1">
      <alignment horizontal="center" vertical="center"/>
    </xf>
    <xf numFmtId="164" fontId="25" fillId="0" borderId="0" xfId="0" applyNumberFormat="1" applyFont="1" applyBorder="1" applyAlignment="1">
      <alignment horizontal="left" vertical="center"/>
    </xf>
    <xf numFmtId="164" fontId="25" fillId="0" borderId="0" xfId="0" applyNumberFormat="1" applyFont="1" applyBorder="1" applyAlignment="1">
      <alignment horizontal="center" vertical="center"/>
    </xf>
    <xf numFmtId="164" fontId="25" fillId="0" borderId="0" xfId="0" applyNumberFormat="1" applyFont="1" applyBorder="1" applyAlignment="1">
      <alignment vertical="center"/>
    </xf>
    <xf numFmtId="3" fontId="25" fillId="0" borderId="0" xfId="0" applyNumberFormat="1" applyFont="1" applyBorder="1" applyAlignment="1">
      <alignment horizontal="left" vertical="center"/>
    </xf>
    <xf numFmtId="4" fontId="31" fillId="0" borderId="0" xfId="0" applyFont="1" applyFill="1" applyBorder="1" applyAlignment="1">
      <alignment horizontal="right" vertical="center"/>
    </xf>
    <xf numFmtId="3" fontId="25" fillId="0" borderId="12" xfId="0" applyNumberFormat="1" applyFont="1" applyFill="1" applyBorder="1" applyAlignment="1">
      <alignment horizontal="left" vertical="center"/>
    </xf>
    <xf numFmtId="164" fontId="24" fillId="0" borderId="13" xfId="0" applyNumberFormat="1" applyFont="1" applyFill="1" applyBorder="1" applyAlignment="1">
      <alignment horizontal="right" vertical="center"/>
    </xf>
    <xf numFmtId="4" fontId="32" fillId="0" borderId="13" xfId="0" applyNumberFormat="1" applyFont="1" applyFill="1" applyBorder="1" applyAlignment="1">
      <alignment horizontal="left" vertical="center"/>
    </xf>
    <xf numFmtId="164" fontId="31" fillId="0" borderId="13" xfId="0" applyNumberFormat="1" applyFont="1" applyFill="1" applyBorder="1" applyAlignment="1">
      <alignment horizontal="center" vertical="center"/>
    </xf>
    <xf numFmtId="4" fontId="32" fillId="0" borderId="13" xfId="0" applyFont="1" applyFill="1" applyBorder="1" applyAlignment="1">
      <alignment horizontal="right" vertical="center"/>
    </xf>
    <xf numFmtId="3" fontId="32" fillId="0" borderId="13" xfId="0" applyNumberFormat="1" applyFont="1" applyFill="1" applyBorder="1" applyAlignment="1">
      <alignment horizontal="left" vertical="center"/>
    </xf>
    <xf numFmtId="4" fontId="32" fillId="0" borderId="14" xfId="0" applyFont="1" applyFill="1" applyBorder="1" applyAlignment="1">
      <alignment vertical="center"/>
    </xf>
    <xf numFmtId="3" fontId="32" fillId="0" borderId="32" xfId="0" applyNumberFormat="1" applyFont="1" applyFill="1" applyBorder="1" applyAlignment="1">
      <alignment horizontal="left" vertical="center"/>
    </xf>
    <xf numFmtId="164" fontId="32" fillId="0" borderId="20" xfId="0" applyNumberFormat="1" applyFont="1" applyFill="1" applyBorder="1" applyAlignment="1">
      <alignment horizontal="right" vertical="center"/>
    </xf>
    <xf numFmtId="4" fontId="32" fillId="0" borderId="20" xfId="0" applyFont="1" applyFill="1" applyBorder="1" applyAlignment="1">
      <alignment horizontal="right" vertical="center"/>
    </xf>
    <xf numFmtId="3" fontId="32" fillId="0" borderId="20" xfId="0" applyNumberFormat="1" applyFont="1" applyFill="1" applyBorder="1" applyAlignment="1">
      <alignment horizontal="right" vertical="center"/>
    </xf>
    <xf numFmtId="4" fontId="32" fillId="0" borderId="33" xfId="0" applyFont="1" applyFill="1" applyBorder="1" applyAlignment="1">
      <alignment horizontal="center" vertical="center"/>
    </xf>
    <xf numFmtId="3" fontId="32" fillId="0" borderId="15" xfId="0" applyNumberFormat="1" applyFont="1" applyFill="1" applyBorder="1" applyAlignment="1">
      <alignment horizontal="center" vertical="center"/>
    </xf>
    <xf numFmtId="4" fontId="32" fillId="0" borderId="16" xfId="0" applyFont="1" applyFill="1" applyBorder="1" applyAlignment="1">
      <alignment horizontal="center" vertical="center"/>
    </xf>
    <xf numFmtId="3" fontId="32" fillId="0" borderId="15" xfId="0" applyNumberFormat="1" applyFont="1" applyFill="1" applyBorder="1" applyAlignment="1">
      <alignment horizontal="right" vertical="center"/>
    </xf>
    <xf numFmtId="3" fontId="32" fillId="0" borderId="0" xfId="0" applyNumberFormat="1" applyFont="1" applyFill="1" applyBorder="1" applyAlignment="1">
      <alignment vertical="center"/>
    </xf>
    <xf numFmtId="169" fontId="32" fillId="0" borderId="0" xfId="0" applyNumberFormat="1" applyFont="1" applyFill="1" applyBorder="1" applyAlignment="1">
      <alignment horizontal="right" vertical="center"/>
    </xf>
    <xf numFmtId="164" fontId="32" fillId="0" borderId="0" xfId="0" applyNumberFormat="1" applyFont="1" applyFill="1" applyBorder="1" applyAlignment="1">
      <alignment horizontal="right" vertical="center"/>
    </xf>
    <xf numFmtId="4" fontId="32" fillId="0" borderId="0" xfId="0" applyNumberFormat="1" applyFont="1" applyFill="1" applyBorder="1" applyAlignment="1">
      <alignment horizontal="right" vertical="center"/>
    </xf>
    <xf numFmtId="4" fontId="32" fillId="0" borderId="16" xfId="0" applyFont="1" applyFill="1" applyBorder="1" applyAlignment="1">
      <alignment vertical="center"/>
    </xf>
    <xf numFmtId="3" fontId="32" fillId="0" borderId="17" xfId="0" applyNumberFormat="1" applyFont="1" applyFill="1" applyBorder="1" applyAlignment="1">
      <alignment horizontal="left" vertical="center"/>
    </xf>
    <xf numFmtId="3" fontId="32" fillId="0" borderId="18" xfId="0" applyNumberFormat="1" applyFont="1" applyFill="1" applyBorder="1" applyAlignment="1">
      <alignment horizontal="left" vertical="center"/>
    </xf>
    <xf numFmtId="169" fontId="32" fillId="0" borderId="18" xfId="0" applyNumberFormat="1" applyFont="1" applyFill="1" applyBorder="1" applyAlignment="1">
      <alignment horizontal="left" vertical="center"/>
    </xf>
    <xf numFmtId="164" fontId="32" fillId="0" borderId="18" xfId="0" applyNumberFormat="1" applyFont="1" applyFill="1" applyBorder="1" applyAlignment="1">
      <alignment horizontal="left" vertical="center"/>
    </xf>
    <xf numFmtId="4" fontId="32" fillId="0" borderId="18" xfId="0" applyFont="1" applyFill="1" applyBorder="1" applyAlignment="1">
      <alignment horizontal="left" vertical="center"/>
    </xf>
    <xf numFmtId="4" fontId="32" fillId="0" borderId="19" xfId="0" applyFont="1" applyFill="1" applyBorder="1" applyAlignment="1">
      <alignment vertical="center"/>
    </xf>
    <xf numFmtId="9" fontId="32" fillId="0" borderId="0" xfId="39" applyFont="1" applyFill="1" applyBorder="1" applyAlignment="1">
      <alignment horizontal="left" vertical="center"/>
    </xf>
    <xf numFmtId="164" fontId="32" fillId="0" borderId="0" xfId="0" applyNumberFormat="1" applyFont="1" applyFill="1" applyBorder="1" applyAlignment="1">
      <alignment horizontal="left" vertical="center"/>
    </xf>
    <xf numFmtId="4" fontId="32" fillId="0" borderId="10" xfId="0" applyFont="1" applyFill="1" applyBorder="1" applyAlignment="1">
      <alignment horizontal="right" vertical="center"/>
    </xf>
    <xf numFmtId="164" fontId="32" fillId="0" borderId="11" xfId="0" applyNumberFormat="1" applyFont="1" applyFill="1" applyBorder="1" applyAlignment="1">
      <alignment horizontal="left" vertical="center"/>
    </xf>
    <xf numFmtId="164" fontId="32" fillId="0" borderId="0" xfId="0" applyNumberFormat="1" applyFont="1" applyFill="1" applyBorder="1" applyAlignment="1">
      <alignment vertical="center"/>
    </xf>
    <xf numFmtId="4" fontId="32" fillId="0" borderId="0" xfId="0" applyFont="1" applyBorder="1" applyAlignment="1">
      <alignment horizontal="center" vertical="center"/>
    </xf>
    <xf numFmtId="4" fontId="32" fillId="0" borderId="0" xfId="0" applyFont="1" applyBorder="1" applyAlignment="1">
      <alignment horizontal="left" vertical="center"/>
    </xf>
    <xf numFmtId="164" fontId="32" fillId="0" borderId="0" xfId="0" applyNumberFormat="1" applyFont="1" applyBorder="1" applyAlignment="1">
      <alignment horizontal="right" vertical="center"/>
    </xf>
    <xf numFmtId="169" fontId="32" fillId="0" borderId="0" xfId="0" applyNumberFormat="1" applyFont="1" applyFill="1" applyBorder="1" applyAlignment="1">
      <alignment horizontal="left" vertical="center"/>
    </xf>
    <xf numFmtId="3" fontId="32" fillId="0" borderId="0" xfId="0" applyNumberFormat="1" applyFont="1" applyBorder="1" applyAlignment="1">
      <alignment horizontal="center" vertical="center"/>
    </xf>
    <xf numFmtId="3" fontId="32" fillId="0" borderId="0" xfId="0" applyNumberFormat="1" applyFont="1" applyBorder="1" applyAlignment="1">
      <alignment horizontal="left" vertical="center"/>
    </xf>
    <xf numFmtId="169" fontId="32" fillId="0" borderId="0" xfId="0" applyNumberFormat="1" applyFont="1" applyBorder="1" applyAlignment="1">
      <alignment horizontal="left" vertical="center"/>
    </xf>
    <xf numFmtId="4" fontId="32" fillId="0" borderId="0" xfId="0" applyFont="1" applyBorder="1" applyAlignment="1">
      <alignment horizontal="right" vertical="center"/>
    </xf>
    <xf numFmtId="4" fontId="32" fillId="0" borderId="12" xfId="0" applyFont="1" applyBorder="1" applyAlignment="1">
      <alignment horizontal="right" vertical="center"/>
    </xf>
    <xf numFmtId="4" fontId="32" fillId="0" borderId="14" xfId="0" applyNumberFormat="1" applyFont="1" applyBorder="1" applyAlignment="1">
      <alignment horizontal="left" vertical="center"/>
    </xf>
    <xf numFmtId="4" fontId="32" fillId="0" borderId="15" xfId="0" applyFont="1" applyBorder="1" applyAlignment="1">
      <alignment horizontal="right" vertical="center"/>
    </xf>
    <xf numFmtId="4" fontId="32" fillId="0" borderId="16" xfId="0" applyNumberFormat="1" applyFont="1" applyBorder="1" applyAlignment="1">
      <alignment horizontal="left" vertical="center"/>
    </xf>
    <xf numFmtId="4" fontId="32" fillId="0" borderId="17" xfId="0" applyFont="1" applyBorder="1" applyAlignment="1">
      <alignment horizontal="right" vertical="center"/>
    </xf>
    <xf numFmtId="3" fontId="32" fillId="0" borderId="19" xfId="0" applyNumberFormat="1" applyFont="1" applyBorder="1" applyAlignment="1">
      <alignment horizontal="left" vertical="center"/>
    </xf>
    <xf numFmtId="164" fontId="32" fillId="0" borderId="0" xfId="0" applyNumberFormat="1" applyFont="1" applyBorder="1" applyAlignment="1">
      <alignment horizontal="center" vertical="center"/>
    </xf>
    <xf numFmtId="166" fontId="32" fillId="0" borderId="0" xfId="0" applyNumberFormat="1" applyFont="1" applyBorder="1" applyAlignment="1">
      <alignment vertical="center"/>
    </xf>
    <xf numFmtId="164" fontId="32" fillId="0" borderId="14" xfId="0" applyNumberFormat="1" applyFont="1" applyBorder="1" applyAlignment="1">
      <alignment horizontal="left" vertical="center"/>
    </xf>
    <xf numFmtId="164" fontId="32" fillId="0" borderId="16" xfId="0" applyNumberFormat="1" applyFont="1" applyBorder="1" applyAlignment="1">
      <alignment horizontal="left" vertical="center"/>
    </xf>
    <xf numFmtId="3" fontId="32" fillId="0" borderId="0" xfId="0" applyNumberFormat="1" applyFont="1" applyBorder="1" applyAlignment="1">
      <alignment horizontal="right" vertical="center"/>
    </xf>
    <xf numFmtId="165" fontId="32" fillId="0" borderId="0" xfId="0" applyNumberFormat="1" applyFont="1" applyBorder="1" applyAlignment="1">
      <alignment vertical="center"/>
    </xf>
    <xf numFmtId="4" fontId="32" fillId="0" borderId="0" xfId="0" applyNumberFormat="1" applyFont="1" applyBorder="1" applyAlignment="1">
      <alignment horizontal="center" vertical="center"/>
    </xf>
    <xf numFmtId="4" fontId="32" fillId="0" borderId="0" xfId="0" applyNumberFormat="1" applyFont="1" applyBorder="1" applyAlignment="1">
      <alignment horizontal="left" vertical="center"/>
    </xf>
    <xf numFmtId="3" fontId="34" fillId="0" borderId="0" xfId="0" applyNumberFormat="1" applyFont="1" applyBorder="1" applyAlignment="1">
      <alignment horizontal="center" vertical="center"/>
    </xf>
    <xf numFmtId="3" fontId="32" fillId="0" borderId="0" xfId="0" applyNumberFormat="1" applyFont="1" applyBorder="1" applyAlignment="1">
      <alignment horizontal="center" vertical="center" wrapText="1"/>
    </xf>
    <xf numFmtId="4" fontId="32" fillId="0" borderId="0" xfId="0" applyFont="1" applyBorder="1" applyAlignment="1">
      <alignment horizontal="center" vertical="center" wrapText="1"/>
    </xf>
    <xf numFmtId="4" fontId="34" fillId="0" borderId="0" xfId="0" applyFont="1" applyBorder="1" applyAlignment="1">
      <alignment horizontal="right" vertical="center" wrapText="1"/>
    </xf>
    <xf numFmtId="4" fontId="34" fillId="0" borderId="0" xfId="0" applyFont="1" applyBorder="1" applyAlignment="1">
      <alignment horizontal="center" vertical="center" wrapText="1"/>
    </xf>
    <xf numFmtId="3" fontId="32" fillId="0" borderId="0" xfId="0" applyNumberFormat="1" applyFont="1" applyBorder="1" applyAlignment="1">
      <alignment horizontal="right" vertical="center" wrapText="1"/>
    </xf>
    <xf numFmtId="4" fontId="32" fillId="0" borderId="0" xfId="0" applyNumberFormat="1" applyFont="1" applyFill="1" applyBorder="1" applyAlignment="1">
      <alignment horizontal="center" vertical="center"/>
    </xf>
    <xf numFmtId="4" fontId="0" fillId="0" borderId="30" xfId="0" applyFont="1" applyFill="1" applyBorder="1" applyAlignment="1">
      <alignment horizontal="right" vertical="center"/>
    </xf>
    <xf numFmtId="4" fontId="0" fillId="0" borderId="0" xfId="0" applyFont="1"/>
    <xf numFmtId="3" fontId="0" fillId="0" borderId="0" xfId="0" applyNumberFormat="1" applyFont="1" applyFill="1" applyBorder="1" applyAlignment="1">
      <alignment horizontal="right" vertical="center" wrapText="1"/>
    </xf>
    <xf numFmtId="3" fontId="0" fillId="0" borderId="0" xfId="0" applyNumberFormat="1" applyFont="1" applyBorder="1" applyAlignment="1">
      <alignment horizontal="center" vertical="center" wrapText="1"/>
    </xf>
    <xf numFmtId="4" fontId="25" fillId="0" borderId="0" xfId="0" applyFont="1" applyBorder="1" applyAlignment="1">
      <alignment horizontal="left" vertical="center"/>
    </xf>
    <xf numFmtId="4" fontId="25" fillId="0" borderId="0" xfId="0" applyFont="1" applyBorder="1" applyAlignment="1">
      <alignment horizontal="right" vertical="center"/>
    </xf>
    <xf numFmtId="164" fontId="25" fillId="0" borderId="0" xfId="0" applyNumberFormat="1" applyFont="1" applyBorder="1" applyAlignment="1">
      <alignment horizontal="right" vertical="center"/>
    </xf>
    <xf numFmtId="164" fontId="34" fillId="0" borderId="0" xfId="0" applyNumberFormat="1" applyFont="1" applyBorder="1" applyAlignment="1">
      <alignment horizontal="right" vertical="center"/>
    </xf>
    <xf numFmtId="164" fontId="32" fillId="0" borderId="30" xfId="0" applyNumberFormat="1" applyFont="1" applyFill="1" applyBorder="1" applyAlignment="1">
      <alignment horizontal="center" vertical="center"/>
    </xf>
    <xf numFmtId="164" fontId="32" fillId="0" borderId="36" xfId="0" applyNumberFormat="1" applyFont="1" applyFill="1" applyBorder="1" applyAlignment="1">
      <alignment horizontal="center" vertical="center"/>
    </xf>
    <xf numFmtId="164" fontId="32" fillId="0" borderId="20" xfId="0" applyNumberFormat="1" applyFont="1" applyFill="1" applyBorder="1" applyAlignment="1">
      <alignment horizontal="center" vertical="center"/>
    </xf>
    <xf numFmtId="169" fontId="32" fillId="0" borderId="36" xfId="0" applyNumberFormat="1" applyFont="1" applyBorder="1" applyAlignment="1">
      <alignment vertical="center"/>
    </xf>
    <xf numFmtId="169" fontId="32" fillId="0" borderId="0" xfId="0" applyNumberFormat="1" applyFont="1" applyBorder="1" applyAlignment="1">
      <alignment horizontal="center" vertical="center"/>
    </xf>
    <xf numFmtId="169" fontId="25" fillId="0" borderId="0" xfId="0" applyNumberFormat="1" applyFont="1" applyBorder="1" applyAlignment="1">
      <alignment vertical="center"/>
    </xf>
    <xf numFmtId="169" fontId="32" fillId="0" borderId="0" xfId="0" applyNumberFormat="1" applyFont="1" applyBorder="1" applyAlignment="1">
      <alignment vertical="center"/>
    </xf>
    <xf numFmtId="169" fontId="32" fillId="0" borderId="0" xfId="0" applyNumberFormat="1" applyFont="1" applyBorder="1" applyAlignment="1">
      <alignment horizontal="right" vertical="center"/>
    </xf>
    <xf numFmtId="3" fontId="32" fillId="0" borderId="20" xfId="0" applyNumberFormat="1" applyFont="1" applyBorder="1" applyAlignment="1">
      <alignment horizontal="center" vertical="center"/>
    </xf>
    <xf numFmtId="3" fontId="32" fillId="0" borderId="0" xfId="0" applyNumberFormat="1" applyFont="1" applyBorder="1" applyAlignment="1">
      <alignment vertical="center"/>
    </xf>
    <xf numFmtId="3" fontId="0" fillId="0" borderId="30" xfId="0" applyNumberFormat="1" applyFont="1" applyBorder="1" applyAlignment="1">
      <alignment horizontal="right" vertical="center"/>
    </xf>
    <xf numFmtId="4" fontId="56" fillId="0" borderId="0" xfId="0" quotePrefix="1" applyFont="1" applyBorder="1" applyAlignment="1">
      <alignment horizontal="left"/>
    </xf>
    <xf numFmtId="4" fontId="28" fillId="0" borderId="37" xfId="0" applyFont="1" applyBorder="1" applyAlignment="1">
      <alignment horizontal="center"/>
    </xf>
    <xf numFmtId="4" fontId="28" fillId="0" borderId="38" xfId="0" applyFont="1" applyBorder="1" applyAlignment="1">
      <alignment horizontal="center"/>
    </xf>
    <xf numFmtId="4" fontId="28" fillId="0" borderId="39" xfId="0" applyFont="1" applyBorder="1" applyAlignment="1">
      <alignment horizontal="center"/>
    </xf>
    <xf numFmtId="4" fontId="28" fillId="0" borderId="40" xfId="0" applyFont="1" applyBorder="1" applyAlignment="1">
      <alignment horizontal="center"/>
    </xf>
    <xf numFmtId="164" fontId="25" fillId="0" borderId="0" xfId="0" applyNumberFormat="1" applyFont="1" applyBorder="1" applyAlignment="1">
      <alignment horizontal="center"/>
    </xf>
    <xf numFmtId="4" fontId="25" fillId="0" borderId="0" xfId="0" applyFont="1" applyBorder="1" applyAlignment="1"/>
    <xf numFmtId="3" fontId="28" fillId="0" borderId="0" xfId="0" applyNumberFormat="1" applyFont="1" applyBorder="1" applyAlignment="1">
      <alignment horizontal="center"/>
    </xf>
    <xf numFmtId="3" fontId="28" fillId="0" borderId="41" xfId="0" applyNumberFormat="1" applyFont="1" applyBorder="1" applyAlignment="1">
      <alignment horizontal="center"/>
    </xf>
    <xf numFmtId="169" fontId="28" fillId="0" borderId="42" xfId="0" applyNumberFormat="1" applyFont="1" applyBorder="1" applyAlignment="1">
      <alignment horizontal="center"/>
    </xf>
    <xf numFmtId="169" fontId="28" fillId="0" borderId="43" xfId="0" applyNumberFormat="1" applyFont="1" applyBorder="1" applyAlignment="1">
      <alignment horizontal="center"/>
    </xf>
    <xf numFmtId="169" fontId="28" fillId="0" borderId="15" xfId="0" applyNumberFormat="1" applyFont="1" applyBorder="1" applyAlignment="1">
      <alignment horizontal="left"/>
    </xf>
    <xf numFmtId="4" fontId="56" fillId="0" borderId="0" xfId="0" applyFont="1" applyBorder="1" applyAlignment="1">
      <alignment horizontal="right"/>
    </xf>
    <xf numFmtId="3" fontId="28" fillId="0" borderId="44" xfId="0" applyNumberFormat="1" applyFont="1" applyBorder="1" applyAlignment="1">
      <alignment horizontal="center"/>
    </xf>
    <xf numFmtId="169" fontId="28" fillId="0" borderId="45" xfId="0" applyNumberFormat="1" applyFont="1" applyBorder="1" applyAlignment="1">
      <alignment horizontal="center"/>
    </xf>
    <xf numFmtId="169" fontId="28" fillId="0" borderId="46" xfId="0" applyNumberFormat="1" applyFont="1" applyBorder="1" applyAlignment="1">
      <alignment horizontal="center"/>
    </xf>
    <xf numFmtId="169" fontId="28" fillId="0" borderId="32" xfId="0" applyNumberFormat="1" applyFont="1" applyBorder="1" applyAlignment="1">
      <alignment horizontal="left"/>
    </xf>
    <xf numFmtId="4" fontId="25" fillId="0" borderId="0" xfId="0" applyFont="1" applyBorder="1" applyAlignment="1">
      <alignment horizontal="center"/>
    </xf>
    <xf numFmtId="3" fontId="25" fillId="0" borderId="18" xfId="0" applyNumberFormat="1" applyFont="1" applyBorder="1" applyAlignment="1"/>
    <xf numFmtId="3" fontId="28" fillId="0" borderId="18" xfId="0" applyNumberFormat="1" applyFont="1" applyBorder="1" applyAlignment="1">
      <alignment horizontal="center"/>
    </xf>
    <xf numFmtId="169" fontId="28" fillId="0" borderId="47" xfId="0" applyNumberFormat="1" applyFont="1" applyBorder="1" applyAlignment="1">
      <alignment horizontal="center"/>
    </xf>
    <xf numFmtId="169" fontId="28" fillId="0" borderId="48" xfId="0" applyNumberFormat="1" applyFont="1" applyBorder="1" applyAlignment="1">
      <alignment horizontal="center"/>
    </xf>
    <xf numFmtId="169" fontId="28" fillId="0" borderId="17" xfId="0" applyNumberFormat="1" applyFont="1" applyBorder="1" applyAlignment="1">
      <alignment horizontal="center"/>
    </xf>
    <xf numFmtId="3" fontId="28" fillId="0" borderId="0" xfId="0" quotePrefix="1" applyNumberFormat="1" applyFont="1" applyBorder="1" applyAlignment="1">
      <alignment horizontal="left"/>
    </xf>
    <xf numFmtId="169" fontId="28" fillId="0" borderId="49" xfId="0" applyNumberFormat="1" applyFont="1" applyBorder="1" applyAlignment="1">
      <alignment horizontal="center"/>
    </xf>
    <xf numFmtId="169" fontId="28" fillId="0" borderId="50" xfId="0" applyNumberFormat="1" applyFont="1" applyBorder="1" applyAlignment="1">
      <alignment horizontal="center"/>
    </xf>
    <xf numFmtId="169" fontId="28" fillId="0" borderId="15" xfId="0" applyNumberFormat="1" applyFont="1" applyBorder="1" applyAlignment="1">
      <alignment horizontal="center"/>
    </xf>
    <xf numFmtId="4" fontId="25" fillId="0" borderId="0" xfId="0" applyFont="1" applyBorder="1" applyAlignment="1">
      <alignment horizontal="left"/>
    </xf>
    <xf numFmtId="4" fontId="56" fillId="0" borderId="0" xfId="0" quotePrefix="1" applyFont="1" applyBorder="1" applyAlignment="1">
      <alignment horizontal="right"/>
    </xf>
    <xf numFmtId="169" fontId="28" fillId="0" borderId="32" xfId="0" applyNumberFormat="1" applyFont="1" applyBorder="1" applyAlignment="1">
      <alignment horizontal="center"/>
    </xf>
    <xf numFmtId="4" fontId="28" fillId="0" borderId="0" xfId="0" applyFont="1" applyBorder="1" applyAlignment="1">
      <alignment horizontal="left"/>
    </xf>
    <xf numFmtId="3" fontId="28" fillId="0" borderId="51" xfId="0" applyNumberFormat="1" applyFont="1" applyBorder="1" applyAlignment="1">
      <alignment horizontal="center"/>
    </xf>
    <xf numFmtId="4" fontId="25" fillId="0" borderId="0" xfId="0" quotePrefix="1" applyFont="1" applyBorder="1" applyAlignment="1"/>
    <xf numFmtId="169" fontId="28" fillId="0" borderId="52" xfId="0" applyNumberFormat="1" applyFont="1" applyBorder="1" applyAlignment="1">
      <alignment horizontal="center"/>
    </xf>
    <xf numFmtId="169" fontId="28" fillId="0" borderId="53" xfId="0" applyNumberFormat="1" applyFont="1" applyBorder="1" applyAlignment="1">
      <alignment horizontal="center"/>
    </xf>
    <xf numFmtId="169" fontId="28" fillId="0" borderId="16" xfId="0" applyNumberFormat="1" applyFont="1" applyBorder="1" applyAlignment="1">
      <alignment horizontal="center"/>
    </xf>
    <xf numFmtId="3" fontId="28" fillId="0" borderId="0" xfId="0" applyNumberFormat="1" applyFont="1" applyBorder="1" applyAlignment="1">
      <alignment horizontal="left"/>
    </xf>
    <xf numFmtId="169" fontId="28" fillId="0" borderId="33" xfId="0" applyNumberFormat="1" applyFont="1" applyBorder="1" applyAlignment="1">
      <alignment horizontal="center"/>
    </xf>
    <xf numFmtId="3" fontId="25" fillId="0" borderId="0" xfId="0" applyNumberFormat="1" applyFont="1" applyBorder="1" applyAlignment="1">
      <alignment horizontal="center"/>
    </xf>
    <xf numFmtId="169" fontId="28" fillId="0" borderId="19" xfId="0" applyNumberFormat="1" applyFont="1" applyBorder="1" applyAlignment="1">
      <alignment horizontal="center"/>
    </xf>
    <xf numFmtId="3" fontId="28" fillId="0" borderId="54" xfId="0" applyNumberFormat="1" applyFont="1" applyBorder="1" applyAlignment="1">
      <alignment horizontal="center"/>
    </xf>
    <xf numFmtId="169" fontId="25" fillId="0" borderId="50" xfId="0" applyNumberFormat="1" applyFont="1" applyBorder="1" applyAlignment="1">
      <alignment horizontal="center"/>
    </xf>
    <xf numFmtId="169" fontId="28" fillId="0" borderId="0" xfId="0" applyNumberFormat="1" applyFont="1" applyBorder="1" applyAlignment="1">
      <alignment horizontal="left"/>
    </xf>
    <xf numFmtId="4" fontId="25" fillId="0" borderId="0" xfId="0" applyFont="1" applyBorder="1" applyAlignment="1">
      <alignment horizontal="right"/>
    </xf>
    <xf numFmtId="4" fontId="25" fillId="0" borderId="41" xfId="0" applyFont="1" applyBorder="1" applyAlignment="1"/>
    <xf numFmtId="3" fontId="28" fillId="0" borderId="49" xfId="0" applyNumberFormat="1" applyFont="1" applyBorder="1" applyAlignment="1">
      <alignment horizontal="center"/>
    </xf>
    <xf numFmtId="3" fontId="28" fillId="0" borderId="50" xfId="0" applyNumberFormat="1" applyFont="1" applyBorder="1" applyAlignment="1">
      <alignment horizontal="center"/>
    </xf>
    <xf numFmtId="3" fontId="25" fillId="0" borderId="0" xfId="0" applyNumberFormat="1" applyFont="1" applyBorder="1" applyAlignment="1">
      <alignment horizontal="right"/>
    </xf>
    <xf numFmtId="4" fontId="25" fillId="0" borderId="20" xfId="0" applyFont="1" applyBorder="1" applyAlignment="1">
      <alignment horizontal="center"/>
    </xf>
    <xf numFmtId="4" fontId="32" fillId="0" borderId="12" xfId="0" applyFont="1" applyFill="1" applyBorder="1" applyAlignment="1">
      <alignment horizontal="right"/>
    </xf>
    <xf numFmtId="3" fontId="25" fillId="0" borderId="14" xfId="0" applyNumberFormat="1" applyFont="1" applyBorder="1" applyAlignment="1">
      <alignment horizontal="left"/>
    </xf>
    <xf numFmtId="4" fontId="32" fillId="0" borderId="15" xfId="0" applyFont="1" applyFill="1" applyBorder="1" applyAlignment="1">
      <alignment horizontal="right"/>
    </xf>
    <xf numFmtId="3" fontId="25" fillId="0" borderId="16" xfId="0" applyNumberFormat="1" applyFont="1" applyBorder="1" applyAlignment="1">
      <alignment horizontal="left"/>
    </xf>
    <xf numFmtId="4" fontId="25" fillId="0" borderId="17" xfId="0" applyFont="1" applyBorder="1" applyAlignment="1">
      <alignment horizontal="right"/>
    </xf>
    <xf numFmtId="3" fontId="25" fillId="0" borderId="19" xfId="0" applyNumberFormat="1" applyFont="1" applyBorder="1" applyAlignment="1">
      <alignment horizontal="left"/>
    </xf>
    <xf numFmtId="4" fontId="28" fillId="0" borderId="20" xfId="0" applyFont="1" applyBorder="1" applyAlignment="1">
      <alignment horizontal="center" wrapText="1"/>
    </xf>
    <xf numFmtId="4" fontId="28" fillId="0" borderId="0" xfId="0" applyFont="1" applyBorder="1" applyAlignment="1">
      <alignment horizontal="right" wrapText="1"/>
    </xf>
    <xf numFmtId="169" fontId="28" fillId="0" borderId="0" xfId="0" applyNumberFormat="1" applyFont="1" applyBorder="1" applyAlignment="1">
      <alignment horizontal="center" wrapText="1"/>
    </xf>
    <xf numFmtId="3" fontId="28" fillId="0" borderId="0" xfId="0" applyNumberFormat="1" applyFont="1" applyBorder="1" applyAlignment="1">
      <alignment horizontal="center" wrapText="1"/>
    </xf>
    <xf numFmtId="4" fontId="25" fillId="0" borderId="0" xfId="0" quotePrefix="1" applyFont="1" applyBorder="1" applyAlignment="1">
      <alignment horizontal="left"/>
    </xf>
    <xf numFmtId="4" fontId="25" fillId="0" borderId="0" xfId="0" applyFont="1" applyFill="1" applyBorder="1" applyAlignment="1">
      <alignment horizontal="center"/>
    </xf>
    <xf numFmtId="4" fontId="32" fillId="0" borderId="0" xfId="0" quotePrefix="1" applyFont="1" applyFill="1" applyBorder="1" applyAlignment="1">
      <alignment horizontal="left"/>
    </xf>
    <xf numFmtId="4" fontId="25" fillId="0" borderId="0" xfId="0" applyNumberFormat="1" applyFont="1" applyBorder="1" applyAlignment="1">
      <alignment horizontal="center"/>
    </xf>
    <xf numFmtId="4" fontId="32" fillId="0" borderId="0" xfId="0" applyFont="1" applyFill="1" applyBorder="1" applyAlignment="1">
      <alignment horizontal="right"/>
    </xf>
    <xf numFmtId="3" fontId="25" fillId="0" borderId="0" xfId="0" applyNumberFormat="1" applyFont="1" applyBorder="1" applyAlignment="1">
      <alignment horizontal="left"/>
    </xf>
    <xf numFmtId="3" fontId="25" fillId="0" borderId="0" xfId="0" applyNumberFormat="1" applyFont="1" applyBorder="1" applyAlignment="1"/>
    <xf numFmtId="164" fontId="25" fillId="0" borderId="0" xfId="0" applyNumberFormat="1" applyFont="1" applyBorder="1" applyAlignment="1">
      <alignment horizontal="left"/>
    </xf>
    <xf numFmtId="168" fontId="25" fillId="0" borderId="0" xfId="0" applyNumberFormat="1" applyFont="1" applyBorder="1" applyAlignment="1">
      <alignment horizontal="center"/>
    </xf>
    <xf numFmtId="3" fontId="25" fillId="0" borderId="12" xfId="0" applyNumberFormat="1" applyFont="1" applyFill="1" applyBorder="1" applyAlignment="1">
      <alignment horizontal="left"/>
    </xf>
    <xf numFmtId="164" fontId="24" fillId="0" borderId="13" xfId="0" applyNumberFormat="1" applyFont="1" applyFill="1" applyBorder="1" applyAlignment="1">
      <alignment horizontal="right"/>
    </xf>
    <xf numFmtId="4" fontId="32" fillId="0" borderId="13" xfId="0" applyNumberFormat="1" applyFont="1" applyFill="1" applyBorder="1" applyAlignment="1">
      <alignment horizontal="left"/>
    </xf>
    <xf numFmtId="164" fontId="31" fillId="0" borderId="13" xfId="0" applyNumberFormat="1" applyFont="1" applyFill="1" applyBorder="1" applyAlignment="1">
      <alignment horizontal="center"/>
    </xf>
    <xf numFmtId="4" fontId="32" fillId="0" borderId="13" xfId="0" applyFont="1" applyFill="1" applyBorder="1" applyAlignment="1">
      <alignment horizontal="right"/>
    </xf>
    <xf numFmtId="3" fontId="32" fillId="0" borderId="13" xfId="0" applyNumberFormat="1" applyFont="1" applyFill="1" applyBorder="1" applyAlignment="1">
      <alignment horizontal="left"/>
    </xf>
    <xf numFmtId="3" fontId="32" fillId="0" borderId="32" xfId="0" applyNumberFormat="1" applyFont="1" applyFill="1" applyBorder="1" applyAlignment="1">
      <alignment horizontal="left"/>
    </xf>
    <xf numFmtId="164" fontId="32" fillId="0" borderId="20" xfId="0" applyNumberFormat="1" applyFont="1" applyFill="1" applyBorder="1" applyAlignment="1">
      <alignment horizontal="right"/>
    </xf>
    <xf numFmtId="4" fontId="32" fillId="0" borderId="20" xfId="0" applyFont="1" applyFill="1" applyBorder="1" applyAlignment="1">
      <alignment horizontal="right"/>
    </xf>
    <xf numFmtId="3" fontId="32" fillId="0" borderId="20" xfId="0" applyNumberFormat="1" applyFont="1" applyFill="1" applyBorder="1" applyAlignment="1">
      <alignment horizontal="right"/>
    </xf>
    <xf numFmtId="4" fontId="32" fillId="0" borderId="33" xfId="0" applyFont="1" applyFill="1" applyBorder="1" applyAlignment="1">
      <alignment horizontal="center" wrapText="1"/>
    </xf>
    <xf numFmtId="3" fontId="32" fillId="0" borderId="15" xfId="0" applyNumberFormat="1" applyFont="1" applyFill="1" applyBorder="1" applyAlignment="1">
      <alignment horizontal="center"/>
    </xf>
    <xf numFmtId="3" fontId="32" fillId="0" borderId="0" xfId="0" applyNumberFormat="1" applyFont="1" applyFill="1" applyBorder="1" applyAlignment="1">
      <alignment horizontal="center"/>
    </xf>
    <xf numFmtId="164" fontId="32" fillId="0" borderId="0" xfId="0" applyNumberFormat="1" applyFont="1" applyFill="1" applyBorder="1" applyAlignment="1">
      <alignment horizontal="center"/>
    </xf>
    <xf numFmtId="4" fontId="32" fillId="0" borderId="0" xfId="0" applyFont="1" applyFill="1" applyBorder="1" applyAlignment="1">
      <alignment horizontal="center"/>
    </xf>
    <xf numFmtId="4" fontId="25" fillId="0" borderId="16" xfId="0" applyFont="1" applyBorder="1" applyAlignment="1"/>
    <xf numFmtId="3" fontId="32" fillId="0" borderId="15" xfId="0" applyNumberFormat="1" applyFont="1" applyFill="1" applyBorder="1" applyAlignment="1">
      <alignment horizontal="right"/>
    </xf>
    <xf numFmtId="3" fontId="32" fillId="0" borderId="0" xfId="0" applyNumberFormat="1" applyFont="1" applyFill="1" applyBorder="1" applyAlignment="1"/>
    <xf numFmtId="3" fontId="32" fillId="0" borderId="0" xfId="0" applyNumberFormat="1" applyFont="1" applyFill="1" applyBorder="1" applyAlignment="1">
      <alignment horizontal="right"/>
    </xf>
    <xf numFmtId="169" fontId="32" fillId="0" borderId="0" xfId="0" applyNumberFormat="1" applyFont="1" applyFill="1" applyBorder="1" applyAlignment="1">
      <alignment horizontal="right"/>
    </xf>
    <xf numFmtId="4" fontId="32" fillId="0" borderId="0" xfId="0" applyNumberFormat="1" applyFont="1" applyFill="1" applyBorder="1" applyAlignment="1">
      <alignment horizontal="right"/>
    </xf>
    <xf numFmtId="4" fontId="25" fillId="0" borderId="0" xfId="0" applyNumberFormat="1" applyFont="1" applyBorder="1" applyAlignment="1">
      <alignment horizontal="right"/>
    </xf>
    <xf numFmtId="4" fontId="32" fillId="0" borderId="16" xfId="0" applyFont="1" applyFill="1" applyBorder="1" applyAlignment="1">
      <alignment horizontal="center"/>
    </xf>
    <xf numFmtId="4" fontId="32" fillId="0" borderId="0" xfId="0" applyFont="1" applyFill="1" applyBorder="1" applyAlignment="1"/>
    <xf numFmtId="3" fontId="32" fillId="0" borderId="18" xfId="0" applyNumberFormat="1" applyFont="1" applyFill="1" applyBorder="1" applyAlignment="1">
      <alignment horizontal="left"/>
    </xf>
    <xf numFmtId="164" fontId="32" fillId="0" borderId="18" xfId="0" applyNumberFormat="1" applyFont="1" applyFill="1" applyBorder="1" applyAlignment="1">
      <alignment horizontal="left"/>
    </xf>
    <xf numFmtId="4" fontId="32" fillId="0" borderId="18" xfId="0" applyFont="1" applyFill="1" applyBorder="1" applyAlignment="1">
      <alignment horizontal="left"/>
    </xf>
    <xf numFmtId="4" fontId="32" fillId="0" borderId="18" xfId="0" applyFont="1" applyFill="1" applyBorder="1" applyAlignment="1"/>
    <xf numFmtId="4" fontId="25" fillId="0" borderId="18" xfId="0" applyFont="1" applyBorder="1" applyAlignment="1"/>
    <xf numFmtId="4" fontId="25" fillId="0" borderId="19" xfId="0" applyFont="1" applyBorder="1" applyAlignment="1"/>
    <xf numFmtId="9" fontId="32" fillId="0" borderId="0" xfId="39" applyFont="1" applyFill="1" applyBorder="1" applyAlignment="1">
      <alignment horizontal="left"/>
    </xf>
    <xf numFmtId="164" fontId="32" fillId="0" borderId="0" xfId="0" applyNumberFormat="1" applyFont="1" applyFill="1" applyBorder="1" applyAlignment="1">
      <alignment horizontal="left"/>
    </xf>
    <xf numFmtId="9" fontId="25" fillId="0" borderId="0" xfId="39" applyFont="1" applyBorder="1" applyAlignment="1">
      <alignment horizontal="left"/>
    </xf>
    <xf numFmtId="4" fontId="32" fillId="0" borderId="10" xfId="0" applyFont="1" applyFill="1" applyBorder="1" applyAlignment="1">
      <alignment horizontal="right"/>
    </xf>
    <xf numFmtId="164" fontId="32" fillId="0" borderId="11" xfId="0" applyNumberFormat="1" applyFont="1" applyFill="1" applyBorder="1" applyAlignment="1">
      <alignment horizontal="left"/>
    </xf>
    <xf numFmtId="4" fontId="32" fillId="0" borderId="14" xfId="0" applyFont="1" applyFill="1" applyBorder="1" applyAlignment="1"/>
    <xf numFmtId="4" fontId="32" fillId="0" borderId="0" xfId="0" applyFont="1" applyFill="1" applyBorder="1" applyAlignment="1">
      <alignment horizontal="center" wrapText="1"/>
    </xf>
    <xf numFmtId="3" fontId="32" fillId="0" borderId="17" xfId="0" applyNumberFormat="1" applyFont="1" applyFill="1" applyBorder="1" applyAlignment="1">
      <alignment horizontal="right"/>
    </xf>
    <xf numFmtId="3" fontId="32" fillId="0" borderId="18" xfId="0" applyNumberFormat="1" applyFont="1" applyFill="1" applyBorder="1" applyAlignment="1">
      <alignment horizontal="right"/>
    </xf>
    <xf numFmtId="169" fontId="32" fillId="0" borderId="18" xfId="0" applyNumberFormat="1" applyFont="1" applyFill="1" applyBorder="1" applyAlignment="1">
      <alignment horizontal="right"/>
    </xf>
    <xf numFmtId="4" fontId="32" fillId="0" borderId="18" xfId="0" applyNumberFormat="1" applyFont="1" applyFill="1" applyBorder="1" applyAlignment="1">
      <alignment horizontal="right"/>
    </xf>
    <xf numFmtId="4" fontId="32" fillId="0" borderId="19" xfId="0" applyFont="1" applyFill="1" applyBorder="1" applyAlignment="1">
      <alignment horizontal="center"/>
    </xf>
    <xf numFmtId="169" fontId="32" fillId="0" borderId="0" xfId="0" applyNumberFormat="1" applyFont="1" applyFill="1" applyBorder="1" applyAlignment="1">
      <alignment horizontal="left"/>
    </xf>
    <xf numFmtId="3" fontId="32" fillId="0" borderId="0" xfId="0" applyNumberFormat="1" applyFont="1" applyFill="1" applyBorder="1" applyAlignment="1">
      <alignment horizontal="left"/>
    </xf>
    <xf numFmtId="3" fontId="0" fillId="0" borderId="15" xfId="0" applyNumberFormat="1" applyFont="1" applyFill="1" applyBorder="1" applyAlignment="1">
      <alignment horizontal="right"/>
    </xf>
    <xf numFmtId="169" fontId="32" fillId="0" borderId="0" xfId="0" applyNumberFormat="1" applyFont="1" applyBorder="1" applyAlignment="1"/>
    <xf numFmtId="4" fontId="0" fillId="0" borderId="0" xfId="0" applyFont="1" applyFill="1" applyBorder="1" applyAlignment="1">
      <alignment horizontal="right" vertical="center"/>
    </xf>
    <xf numFmtId="3" fontId="25" fillId="0" borderId="0" xfId="39" applyNumberFormat="1" applyFont="1" applyBorder="1" applyAlignment="1">
      <alignment horizontal="right" vertical="center"/>
    </xf>
    <xf numFmtId="4" fontId="32" fillId="0" borderId="0" xfId="0" applyNumberFormat="1" applyFont="1" applyFill="1" applyBorder="1" applyAlignment="1">
      <alignment horizontal="center"/>
    </xf>
    <xf numFmtId="4" fontId="32" fillId="0" borderId="0" xfId="0" applyFont="1" applyFill="1" applyBorder="1" applyAlignment="1">
      <alignment horizontal="left"/>
    </xf>
    <xf numFmtId="3" fontId="25" fillId="0" borderId="0" xfId="0" applyNumberFormat="1" applyFont="1" applyFill="1" applyBorder="1" applyAlignment="1">
      <alignment horizontal="left"/>
    </xf>
    <xf numFmtId="164" fontId="24" fillId="0" borderId="0" xfId="0" applyNumberFormat="1" applyFont="1" applyFill="1" applyBorder="1" applyAlignment="1">
      <alignment horizontal="right"/>
    </xf>
    <xf numFmtId="4" fontId="32" fillId="0" borderId="0" xfId="0" applyNumberFormat="1" applyFont="1" applyFill="1" applyBorder="1" applyAlignment="1">
      <alignment horizontal="left"/>
    </xf>
    <xf numFmtId="164" fontId="31" fillId="0" borderId="0" xfId="0" applyNumberFormat="1" applyFont="1" applyFill="1" applyBorder="1" applyAlignment="1">
      <alignment horizontal="center"/>
    </xf>
    <xf numFmtId="3" fontId="32" fillId="0" borderId="12" xfId="0" applyNumberFormat="1" applyFont="1" applyFill="1" applyBorder="1" applyAlignment="1">
      <alignment horizontal="left"/>
    </xf>
    <xf numFmtId="164" fontId="32" fillId="0" borderId="13" xfId="0" applyNumberFormat="1" applyFont="1" applyFill="1" applyBorder="1" applyAlignment="1">
      <alignment horizontal="right"/>
    </xf>
    <xf numFmtId="3" fontId="32" fillId="0" borderId="13" xfId="0" applyNumberFormat="1" applyFont="1" applyFill="1" applyBorder="1" applyAlignment="1">
      <alignment horizontal="right"/>
    </xf>
    <xf numFmtId="4" fontId="32" fillId="0" borderId="13" xfId="0" applyFont="1" applyFill="1" applyBorder="1" applyAlignment="1">
      <alignment horizontal="center" wrapText="1"/>
    </xf>
    <xf numFmtId="4" fontId="32" fillId="0" borderId="14" xfId="0" applyFont="1" applyFill="1" applyBorder="1" applyAlignment="1">
      <alignment horizontal="center" wrapText="1"/>
    </xf>
    <xf numFmtId="3" fontId="32" fillId="0" borderId="15" xfId="0" applyNumberFormat="1" applyFont="1" applyFill="1" applyBorder="1" applyAlignment="1">
      <alignment horizontal="left"/>
    </xf>
    <xf numFmtId="3" fontId="0" fillId="0" borderId="15" xfId="0" applyNumberFormat="1" applyFont="1" applyFill="1" applyBorder="1" applyAlignment="1">
      <alignment horizontal="left"/>
    </xf>
    <xf numFmtId="4" fontId="25" fillId="0" borderId="15" xfId="0" applyFont="1" applyBorder="1" applyAlignment="1">
      <alignment horizontal="right"/>
    </xf>
    <xf numFmtId="4" fontId="0" fillId="0" borderId="17" xfId="0" applyFont="1" applyBorder="1" applyAlignment="1">
      <alignment horizontal="left"/>
    </xf>
    <xf numFmtId="3" fontId="0"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3" fontId="0" fillId="0" borderId="0" xfId="0" applyNumberFormat="1" applyFont="1" applyBorder="1" applyAlignment="1">
      <alignment horizontal="right" vertical="center"/>
    </xf>
    <xf numFmtId="4" fontId="58" fillId="0" borderId="20" xfId="0" applyFont="1" applyBorder="1" applyAlignment="1">
      <alignment horizontal="right" wrapText="1"/>
    </xf>
    <xf numFmtId="4" fontId="58" fillId="0" borderId="20" xfId="0" applyFont="1" applyBorder="1" applyAlignment="1">
      <alignment horizontal="center" wrapText="1"/>
    </xf>
    <xf numFmtId="3" fontId="33" fillId="0" borderId="20" xfId="0" applyNumberFormat="1" applyFont="1" applyBorder="1" applyAlignment="1">
      <alignment horizontal="center" wrapText="1"/>
    </xf>
    <xf numFmtId="4" fontId="33" fillId="0" borderId="20" xfId="0" applyFont="1" applyBorder="1" applyAlignment="1">
      <alignment horizontal="center" wrapText="1"/>
    </xf>
    <xf numFmtId="4" fontId="33" fillId="0" borderId="0" xfId="0" applyFont="1" applyBorder="1" applyAlignment="1"/>
    <xf numFmtId="4" fontId="33" fillId="0" borderId="20" xfId="0" applyFont="1" applyBorder="1" applyAlignment="1">
      <alignment horizontal="center"/>
    </xf>
    <xf numFmtId="4" fontId="60" fillId="0" borderId="0" xfId="0" applyFont="1" applyBorder="1" applyAlignment="1"/>
    <xf numFmtId="4" fontId="58" fillId="0" borderId="0" xfId="0" applyFont="1" applyBorder="1" applyAlignment="1">
      <alignment horizontal="right"/>
    </xf>
    <xf numFmtId="169" fontId="58" fillId="0" borderId="0" xfId="0" applyNumberFormat="1" applyFont="1" applyBorder="1" applyAlignment="1">
      <alignment horizontal="center"/>
    </xf>
    <xf numFmtId="3" fontId="58" fillId="0" borderId="0" xfId="0" applyNumberFormat="1" applyFont="1" applyBorder="1" applyAlignment="1">
      <alignment horizontal="center"/>
    </xf>
    <xf numFmtId="4" fontId="33" fillId="0" borderId="0" xfId="0" applyNumberFormat="1" applyFont="1" applyBorder="1" applyAlignment="1">
      <alignment horizontal="center"/>
    </xf>
    <xf numFmtId="4" fontId="33" fillId="0" borderId="0" xfId="0" applyFont="1" applyBorder="1" applyAlignment="1">
      <alignment horizontal="center"/>
    </xf>
    <xf numFmtId="3" fontId="33" fillId="0" borderId="0" xfId="0" applyNumberFormat="1" applyFont="1" applyBorder="1" applyAlignment="1">
      <alignment horizontal="center"/>
    </xf>
    <xf numFmtId="4" fontId="58" fillId="0" borderId="20" xfId="0" applyFont="1" applyBorder="1" applyAlignment="1">
      <alignment horizontal="right"/>
    </xf>
    <xf numFmtId="169" fontId="58" fillId="0" borderId="20" xfId="0" applyNumberFormat="1" applyFont="1" applyBorder="1" applyAlignment="1">
      <alignment horizontal="center"/>
    </xf>
    <xf numFmtId="3" fontId="58" fillId="0" borderId="20" xfId="0" applyNumberFormat="1" applyFont="1" applyBorder="1" applyAlignment="1">
      <alignment horizontal="center"/>
    </xf>
    <xf numFmtId="4" fontId="33" fillId="0" borderId="20" xfId="0" applyNumberFormat="1" applyFont="1" applyBorder="1" applyAlignment="1">
      <alignment horizontal="center"/>
    </xf>
    <xf numFmtId="3" fontId="33" fillId="0" borderId="20" xfId="0" applyNumberFormat="1" applyFont="1" applyBorder="1" applyAlignment="1">
      <alignment horizontal="center"/>
    </xf>
    <xf numFmtId="4" fontId="58" fillId="0" borderId="0" xfId="0" applyNumberFormat="1" applyFont="1" applyBorder="1" applyAlignment="1">
      <alignment horizontal="center"/>
    </xf>
    <xf numFmtId="4" fontId="58" fillId="0" borderId="55" xfId="0" applyNumberFormat="1" applyFont="1" applyBorder="1" applyAlignment="1">
      <alignment horizontal="center"/>
    </xf>
    <xf numFmtId="4" fontId="33" fillId="0" borderId="0" xfId="0" applyFont="1" applyBorder="1" applyAlignment="1">
      <alignment horizontal="right"/>
    </xf>
    <xf numFmtId="3" fontId="33" fillId="0" borderId="0" xfId="0" applyNumberFormat="1" applyFont="1" applyBorder="1" applyAlignment="1">
      <alignment horizontal="left"/>
    </xf>
    <xf numFmtId="4" fontId="33" fillId="0" borderId="0" xfId="0" applyFont="1" applyFill="1" applyBorder="1" applyAlignment="1">
      <alignment horizontal="center"/>
    </xf>
    <xf numFmtId="4" fontId="62" fillId="0" borderId="0" xfId="0" applyFont="1" applyAlignment="1">
      <alignment horizontal="right"/>
    </xf>
    <xf numFmtId="4" fontId="33" fillId="0" borderId="0" xfId="0" applyNumberFormat="1" applyFont="1" applyBorder="1" applyAlignment="1">
      <alignment horizontal="left"/>
    </xf>
    <xf numFmtId="4" fontId="33" fillId="0" borderId="12" xfId="0" applyFont="1" applyBorder="1" applyAlignment="1">
      <alignment horizontal="right"/>
    </xf>
    <xf numFmtId="164" fontId="33" fillId="0" borderId="14" xfId="0" applyNumberFormat="1" applyFont="1" applyBorder="1" applyAlignment="1">
      <alignment horizontal="center"/>
    </xf>
    <xf numFmtId="4" fontId="33" fillId="0" borderId="17" xfId="0" applyFont="1" applyBorder="1" applyAlignment="1">
      <alignment horizontal="right"/>
    </xf>
    <xf numFmtId="164" fontId="33" fillId="0" borderId="19" xfId="0" applyNumberFormat="1" applyFont="1" applyBorder="1" applyAlignment="1">
      <alignment horizontal="center"/>
    </xf>
    <xf numFmtId="4" fontId="33" fillId="0" borderId="10" xfId="0" applyFont="1" applyBorder="1" applyAlignment="1">
      <alignment horizontal="left"/>
    </xf>
    <xf numFmtId="4" fontId="33" fillId="0" borderId="21" xfId="0" applyFont="1" applyBorder="1" applyAlignment="1">
      <alignment horizontal="center"/>
    </xf>
    <xf numFmtId="4" fontId="33" fillId="0" borderId="11" xfId="0" applyFont="1" applyBorder="1" applyAlignment="1">
      <alignment horizontal="center"/>
    </xf>
    <xf numFmtId="4" fontId="33" fillId="0" borderId="10" xfId="0" applyFont="1" applyBorder="1" applyAlignment="1">
      <alignment horizontal="right"/>
    </xf>
    <xf numFmtId="164" fontId="33" fillId="0" borderId="11" xfId="0" applyNumberFormat="1" applyFont="1" applyBorder="1" applyAlignment="1">
      <alignment horizontal="left"/>
    </xf>
    <xf numFmtId="4" fontId="33" fillId="0" borderId="0" xfId="0" applyFont="1" applyBorder="1" applyAlignment="1">
      <alignment horizontal="left"/>
    </xf>
    <xf numFmtId="4" fontId="33" fillId="0" borderId="12" xfId="0" applyFont="1" applyBorder="1" applyAlignment="1">
      <alignment horizontal="left"/>
    </xf>
    <xf numFmtId="4" fontId="33" fillId="0" borderId="13" xfId="0" applyFont="1" applyBorder="1" applyAlignment="1">
      <alignment horizontal="center"/>
    </xf>
    <xf numFmtId="4" fontId="33" fillId="0" borderId="13" xfId="0" applyFont="1" applyBorder="1" applyAlignment="1"/>
    <xf numFmtId="4" fontId="33" fillId="0" borderId="14" xfId="0" applyFont="1" applyBorder="1" applyAlignment="1"/>
    <xf numFmtId="4" fontId="33" fillId="0" borderId="15" xfId="0" applyFont="1" applyBorder="1" applyAlignment="1">
      <alignment horizontal="left"/>
    </xf>
    <xf numFmtId="4" fontId="33" fillId="0" borderId="16" xfId="0" applyFont="1" applyBorder="1" applyAlignment="1"/>
    <xf numFmtId="164" fontId="33" fillId="0" borderId="18" xfId="0" applyNumberFormat="1" applyFont="1" applyBorder="1" applyAlignment="1">
      <alignment horizontal="center"/>
    </xf>
    <xf numFmtId="4" fontId="33" fillId="0" borderId="18" xfId="0" applyFont="1" applyBorder="1" applyAlignment="1">
      <alignment horizontal="center"/>
    </xf>
    <xf numFmtId="4" fontId="33" fillId="0" borderId="19" xfId="0" applyFont="1" applyBorder="1" applyAlignment="1"/>
    <xf numFmtId="4" fontId="65" fillId="0" borderId="20" xfId="0" applyFont="1" applyBorder="1" applyAlignment="1">
      <alignment horizontal="center"/>
    </xf>
    <xf numFmtId="169" fontId="65" fillId="0" borderId="0" xfId="0" applyNumberFormat="1" applyFont="1" applyBorder="1" applyAlignment="1">
      <alignment horizontal="right"/>
    </xf>
    <xf numFmtId="164" fontId="65" fillId="0" borderId="0" xfId="0" applyNumberFormat="1" applyFont="1" applyBorder="1" applyAlignment="1">
      <alignment horizontal="center"/>
    </xf>
    <xf numFmtId="4" fontId="65" fillId="0" borderId="20" xfId="0" applyFont="1" applyBorder="1" applyAlignment="1">
      <alignment horizontal="right"/>
    </xf>
    <xf numFmtId="4" fontId="58" fillId="0" borderId="0" xfId="0" applyFont="1" applyBorder="1" applyAlignment="1">
      <alignment horizontal="center" wrapText="1"/>
    </xf>
    <xf numFmtId="167" fontId="0" fillId="0" borderId="0" xfId="0" applyNumberFormat="1" applyFont="1" applyBorder="1" applyAlignment="1"/>
    <xf numFmtId="4" fontId="45" fillId="0" borderId="0" xfId="0" applyFont="1" applyBorder="1" applyAlignment="1">
      <alignment horizontal="right" vertical="center"/>
    </xf>
    <xf numFmtId="170" fontId="0" fillId="0" borderId="0" xfId="39" applyNumberFormat="1" applyFont="1" applyBorder="1" applyAlignment="1">
      <alignment horizontal="center" vertical="center"/>
    </xf>
    <xf numFmtId="3" fontId="24" fillId="0" borderId="0" xfId="0" applyNumberFormat="1" applyFont="1" applyBorder="1" applyAlignment="1">
      <alignment horizontal="right" vertical="center"/>
    </xf>
    <xf numFmtId="4" fontId="45" fillId="0" borderId="0" xfId="0" applyFont="1" applyBorder="1" applyAlignment="1">
      <alignment horizontal="right" vertical="top"/>
    </xf>
    <xf numFmtId="4" fontId="24" fillId="0" borderId="0" xfId="0" applyFont="1" applyBorder="1" applyAlignment="1">
      <alignment horizontal="center" vertical="center"/>
    </xf>
    <xf numFmtId="164" fontId="24" fillId="0" borderId="0" xfId="0" applyNumberFormat="1" applyFont="1" applyBorder="1" applyAlignment="1">
      <alignment horizontal="center" vertical="center"/>
    </xf>
    <xf numFmtId="164" fontId="0" fillId="0" borderId="0" xfId="39" applyNumberFormat="1" applyFont="1" applyBorder="1" applyAlignment="1">
      <alignment horizontal="center" vertical="center"/>
    </xf>
    <xf numFmtId="164" fontId="0" fillId="0" borderId="11" xfId="39" applyNumberFormat="1" applyFont="1" applyBorder="1" applyAlignment="1">
      <alignment horizontal="left" vertical="center"/>
    </xf>
    <xf numFmtId="10" fontId="0" fillId="0" borderId="0" xfId="39" applyNumberFormat="1" applyFont="1" applyBorder="1" applyAlignment="1">
      <alignment horizontal="left" vertical="center"/>
    </xf>
    <xf numFmtId="4" fontId="0" fillId="0" borderId="20" xfId="0" applyFont="1" applyBorder="1" applyAlignment="1">
      <alignment horizontal="center" wrapText="1"/>
    </xf>
    <xf numFmtId="4" fontId="24" fillId="0" borderId="0" xfId="0" applyFont="1" applyAlignment="1">
      <alignment horizontal="right"/>
    </xf>
    <xf numFmtId="4" fontId="0" fillId="0" borderId="0" xfId="0" applyNumberFormat="1" applyFont="1" applyBorder="1" applyAlignment="1">
      <alignment horizontal="left"/>
    </xf>
    <xf numFmtId="164" fontId="0" fillId="0" borderId="0" xfId="39" applyNumberFormat="1" applyFont="1" applyBorder="1" applyAlignment="1">
      <alignment horizontal="left"/>
    </xf>
    <xf numFmtId="4" fontId="31" fillId="0" borderId="0" xfId="0" quotePrefix="1" applyFont="1" applyBorder="1" applyAlignment="1">
      <alignment horizontal="left" wrapText="1"/>
    </xf>
    <xf numFmtId="4" fontId="0" fillId="0" borderId="0" xfId="0" applyFont="1" applyBorder="1" applyAlignment="1">
      <alignment wrapText="1"/>
    </xf>
    <xf numFmtId="4" fontId="0" fillId="0" borderId="0" xfId="0" applyFont="1" applyAlignment="1">
      <alignment vertical="center"/>
    </xf>
    <xf numFmtId="4" fontId="0" fillId="0" borderId="0" xfId="0" applyNumberFormat="1" applyFont="1" applyAlignment="1">
      <alignment horizontal="center" vertical="center"/>
    </xf>
    <xf numFmtId="164" fontId="0" fillId="0" borderId="0" xfId="0" applyNumberFormat="1" applyFont="1" applyBorder="1" applyAlignment="1">
      <alignment vertical="center"/>
    </xf>
    <xf numFmtId="4" fontId="0" fillId="0" borderId="20" xfId="0" applyFont="1" applyBorder="1" applyAlignment="1">
      <alignment vertical="center"/>
    </xf>
    <xf numFmtId="4" fontId="0" fillId="0" borderId="0" xfId="0" applyFont="1" applyAlignment="1">
      <alignment horizontal="right" vertical="center"/>
    </xf>
    <xf numFmtId="4" fontId="0" fillId="0" borderId="12" xfId="0" applyFont="1" applyBorder="1" applyAlignment="1">
      <alignment horizontal="right" vertical="center"/>
    </xf>
    <xf numFmtId="167" fontId="0" fillId="0" borderId="0" xfId="0" applyNumberFormat="1" applyFont="1" applyBorder="1" applyAlignment="1">
      <alignment horizontal="left" vertical="center"/>
    </xf>
    <xf numFmtId="4" fontId="0" fillId="0" borderId="0" xfId="0" applyNumberFormat="1" applyFont="1" applyBorder="1" applyAlignment="1">
      <alignment horizontal="left" vertical="center"/>
    </xf>
    <xf numFmtId="4" fontId="68" fillId="0" borderId="36" xfId="0" applyFont="1" applyBorder="1" applyAlignment="1">
      <alignment horizontal="right" vertical="center"/>
    </xf>
    <xf numFmtId="3" fontId="68" fillId="0" borderId="20" xfId="0" applyNumberFormat="1" applyFont="1" applyBorder="1" applyAlignment="1">
      <alignment horizontal="center" vertical="center" wrapText="1"/>
    </xf>
    <xf numFmtId="4" fontId="0" fillId="0" borderId="0" xfId="0" quotePrefix="1" applyFont="1" applyBorder="1" applyAlignment="1">
      <alignment vertical="center"/>
    </xf>
    <xf numFmtId="3" fontId="0" fillId="0" borderId="0" xfId="0" applyNumberFormat="1" applyFont="1" applyBorder="1" applyAlignment="1">
      <alignment vertical="center"/>
    </xf>
    <xf numFmtId="4" fontId="24" fillId="0" borderId="0" xfId="0" applyFont="1" applyBorder="1" applyAlignment="1">
      <alignment horizontal="right" vertical="center"/>
    </xf>
    <xf numFmtId="169" fontId="0" fillId="0" borderId="0" xfId="0" applyNumberFormat="1" applyFont="1" applyFill="1" applyBorder="1" applyAlignment="1">
      <alignment horizontal="right" vertical="center"/>
    </xf>
    <xf numFmtId="4" fontId="0" fillId="0" borderId="12" xfId="0" applyFont="1" applyBorder="1" applyAlignment="1">
      <alignment horizontal="left" vertical="center"/>
    </xf>
    <xf numFmtId="4" fontId="0" fillId="0" borderId="13" xfId="0" applyFont="1" applyBorder="1" applyAlignment="1">
      <alignment vertical="center"/>
    </xf>
    <xf numFmtId="4" fontId="0" fillId="0" borderId="14" xfId="0" applyFont="1" applyBorder="1" applyAlignment="1">
      <alignment vertical="center"/>
    </xf>
    <xf numFmtId="4" fontId="31" fillId="0" borderId="0" xfId="0" applyFont="1" applyBorder="1" applyAlignment="1">
      <alignment horizontal="center" vertical="center"/>
    </xf>
    <xf numFmtId="4" fontId="0" fillId="0" borderId="32" xfId="0" applyFont="1" applyBorder="1" applyAlignment="1">
      <alignment horizontal="center" vertical="center"/>
    </xf>
    <xf numFmtId="4" fontId="0" fillId="0" borderId="33" xfId="0" applyFont="1" applyBorder="1" applyAlignment="1">
      <alignment horizontal="center" vertical="center"/>
    </xf>
    <xf numFmtId="4" fontId="31" fillId="0" borderId="0" xfId="0" applyFont="1" applyBorder="1" applyAlignment="1">
      <alignment horizontal="left" vertical="center"/>
    </xf>
    <xf numFmtId="3" fontId="0" fillId="0" borderId="18" xfId="0" applyNumberFormat="1" applyFont="1" applyBorder="1" applyAlignment="1">
      <alignment horizontal="left" vertical="center"/>
    </xf>
    <xf numFmtId="4" fontId="0" fillId="0" borderId="18" xfId="0" applyFont="1" applyBorder="1" applyAlignment="1">
      <alignment horizontal="left" vertical="center"/>
    </xf>
    <xf numFmtId="164" fontId="31" fillId="0" borderId="0" xfId="0" applyNumberFormat="1" applyFont="1" applyBorder="1" applyAlignment="1">
      <alignment horizontal="right" vertical="center"/>
    </xf>
    <xf numFmtId="164" fontId="0" fillId="0" borderId="13" xfId="0" applyNumberFormat="1" applyFont="1" applyBorder="1" applyAlignment="1">
      <alignment horizontal="left" vertical="center"/>
    </xf>
    <xf numFmtId="169" fontId="0" fillId="0" borderId="14" xfId="0" applyNumberFormat="1" applyFont="1" applyBorder="1" applyAlignment="1">
      <alignment horizontal="left" vertical="center"/>
    </xf>
    <xf numFmtId="169" fontId="0" fillId="0" borderId="19" xfId="0" applyNumberFormat="1" applyFont="1" applyBorder="1" applyAlignment="1">
      <alignment horizontal="left" vertical="center"/>
    </xf>
    <xf numFmtId="4" fontId="0" fillId="0" borderId="0" xfId="0" applyFont="1" applyBorder="1" applyAlignment="1">
      <alignment horizontal="center"/>
    </xf>
    <xf numFmtId="4" fontId="0" fillId="0" borderId="0" xfId="0" applyFont="1" applyBorder="1" applyAlignment="1">
      <alignment horizontal="left" vertical="top"/>
    </xf>
    <xf numFmtId="4" fontId="0" fillId="0" borderId="0" xfId="0" applyFont="1" applyBorder="1" applyAlignment="1">
      <alignment vertical="top"/>
    </xf>
    <xf numFmtId="4" fontId="0" fillId="0" borderId="0" xfId="0" quotePrefix="1" applyFont="1" applyBorder="1" applyAlignment="1">
      <alignment horizontal="right" vertical="center"/>
    </xf>
    <xf numFmtId="4" fontId="0" fillId="0" borderId="0" xfId="0" applyFont="1" applyBorder="1" applyAlignment="1">
      <alignment horizontal="left"/>
    </xf>
    <xf numFmtId="164" fontId="0" fillId="0" borderId="0" xfId="0" applyNumberFormat="1" applyFont="1" applyBorder="1" applyAlignment="1"/>
    <xf numFmtId="164" fontId="0" fillId="0" borderId="0" xfId="0" applyNumberFormat="1" applyFont="1" applyBorder="1" applyAlignment="1">
      <alignment horizontal="center"/>
    </xf>
    <xf numFmtId="3" fontId="0" fillId="0" borderId="0" xfId="0" applyNumberFormat="1" applyFont="1" applyBorder="1" applyAlignment="1">
      <alignment horizontal="right"/>
    </xf>
    <xf numFmtId="164" fontId="0" fillId="0" borderId="0" xfId="0" quotePrefix="1" applyNumberFormat="1" applyFont="1" applyBorder="1" applyAlignment="1">
      <alignment horizontal="right" vertical="center"/>
    </xf>
    <xf numFmtId="164" fontId="0" fillId="0" borderId="0" xfId="0" quotePrefix="1" applyNumberFormat="1" applyFont="1" applyBorder="1" applyAlignment="1">
      <alignment horizontal="right"/>
    </xf>
    <xf numFmtId="4" fontId="0" fillId="0" borderId="0" xfId="0" quotePrefix="1" applyFont="1" applyBorder="1" applyAlignment="1">
      <alignment horizontal="right"/>
    </xf>
    <xf numFmtId="165" fontId="0" fillId="0" borderId="0" xfId="0" applyNumberFormat="1" applyFont="1" applyBorder="1" applyAlignment="1">
      <alignment horizontal="left"/>
    </xf>
    <xf numFmtId="165" fontId="0" fillId="0" borderId="0" xfId="0" applyNumberFormat="1" applyFont="1" applyBorder="1" applyAlignment="1">
      <alignment horizontal="center"/>
    </xf>
    <xf numFmtId="3" fontId="0" fillId="0" borderId="0" xfId="0" applyNumberFormat="1" applyFont="1" applyBorder="1" applyAlignment="1"/>
    <xf numFmtId="165" fontId="0" fillId="0" borderId="0" xfId="0" applyNumberFormat="1" applyFont="1" applyBorder="1" applyAlignment="1">
      <alignment horizontal="right"/>
    </xf>
    <xf numFmtId="164" fontId="31" fillId="0" borderId="0" xfId="0" applyNumberFormat="1" applyFont="1" applyBorder="1" applyAlignment="1"/>
    <xf numFmtId="4" fontId="31" fillId="0" borderId="20" xfId="0" applyFont="1" applyBorder="1" applyAlignment="1">
      <alignment wrapText="1"/>
    </xf>
    <xf numFmtId="3" fontId="0" fillId="0" borderId="0" xfId="0" applyNumberFormat="1" applyFont="1" applyBorder="1" applyAlignment="1">
      <alignment horizontal="center" vertical="center"/>
    </xf>
    <xf numFmtId="3" fontId="0" fillId="0" borderId="0" xfId="0" applyNumberFormat="1" applyFont="1" applyBorder="1" applyAlignment="1">
      <alignment horizontal="right" vertical="center"/>
    </xf>
    <xf numFmtId="4" fontId="0" fillId="0" borderId="0" xfId="0" applyFont="1" applyBorder="1" applyAlignment="1">
      <alignment horizontal="center" vertical="center"/>
    </xf>
    <xf numFmtId="4" fontId="68" fillId="0" borderId="0" xfId="0" applyFont="1" applyBorder="1" applyAlignment="1">
      <alignment horizontal="right" vertical="center"/>
    </xf>
    <xf numFmtId="4" fontId="0" fillId="0" borderId="0" xfId="0" quotePrefix="1" applyFont="1" applyBorder="1" applyAlignment="1">
      <alignment horizontal="center"/>
    </xf>
    <xf numFmtId="3" fontId="0" fillId="0" borderId="10" xfId="0" applyNumberFormat="1" applyFont="1" applyBorder="1" applyAlignment="1">
      <alignment horizontal="right" vertical="center"/>
    </xf>
    <xf numFmtId="164" fontId="0" fillId="0" borderId="11" xfId="0" applyNumberFormat="1" applyFont="1" applyBorder="1" applyAlignment="1">
      <alignment horizontal="left"/>
    </xf>
    <xf numFmtId="170" fontId="0" fillId="0" borderId="16" xfId="39"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11" xfId="0" applyNumberFormat="1" applyFont="1" applyBorder="1" applyAlignment="1">
      <alignment horizontal="center" vertical="center"/>
    </xf>
    <xf numFmtId="3" fontId="0" fillId="0" borderId="0" xfId="0" applyNumberFormat="1" applyFont="1" applyBorder="1" applyAlignment="1">
      <alignment horizontal="right" vertical="center"/>
    </xf>
    <xf numFmtId="4" fontId="0" fillId="0" borderId="0" xfId="0" applyFont="1" applyBorder="1" applyAlignment="1">
      <alignment horizontal="center" vertical="center"/>
    </xf>
    <xf numFmtId="167" fontId="0" fillId="0" borderId="0" xfId="0" applyNumberFormat="1" applyFont="1" applyBorder="1" applyAlignment="1">
      <alignment vertical="center"/>
    </xf>
    <xf numFmtId="169" fontId="55" fillId="0" borderId="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21" xfId="0" applyNumberFormat="1" applyFont="1" applyBorder="1" applyAlignment="1">
      <alignment horizontal="center" vertical="center" wrapText="1"/>
    </xf>
    <xf numFmtId="164" fontId="0" fillId="0" borderId="10" xfId="0" applyNumberFormat="1" applyFont="1" applyBorder="1" applyAlignment="1">
      <alignment horizontal="left" vertical="center" wrapText="1"/>
    </xf>
    <xf numFmtId="164" fontId="0" fillId="0" borderId="21" xfId="0" applyNumberFormat="1" applyFont="1" applyBorder="1" applyAlignment="1">
      <alignment horizontal="left" vertical="center" wrapText="1"/>
    </xf>
    <xf numFmtId="164" fontId="0" fillId="0" borderId="11" xfId="0" applyNumberFormat="1" applyFont="1" applyBorder="1" applyAlignment="1">
      <alignment horizontal="left" vertical="center" wrapText="1"/>
    </xf>
    <xf numFmtId="3" fontId="0" fillId="0" borderId="0" xfId="0" applyNumberFormat="1" applyFont="1" applyBorder="1" applyAlignment="1">
      <alignment horizontal="center" vertical="center"/>
    </xf>
    <xf numFmtId="4" fontId="0" fillId="0" borderId="17" xfId="0" applyNumberFormat="1" applyBorder="1" applyAlignment="1">
      <alignment horizontal="center"/>
    </xf>
    <xf numFmtId="4" fontId="0" fillId="0" borderId="18" xfId="0" applyNumberFormat="1" applyBorder="1" applyAlignment="1">
      <alignment horizontal="center"/>
    </xf>
    <xf numFmtId="4" fontId="46" fillId="17" borderId="22" xfId="0" applyFont="1" applyFill="1" applyBorder="1" applyAlignment="1">
      <alignment horizontal="center"/>
    </xf>
    <xf numFmtId="4" fontId="49" fillId="17" borderId="22" xfId="0" applyFont="1" applyFill="1" applyBorder="1" applyAlignment="1">
      <alignment horizontal="center"/>
    </xf>
    <xf numFmtId="3" fontId="0" fillId="0" borderId="0" xfId="0" applyNumberFormat="1" applyBorder="1" applyAlignment="1">
      <alignment horizontal="left"/>
    </xf>
    <xf numFmtId="4" fontId="0" fillId="0" borderId="34" xfId="0" applyNumberFormat="1" applyBorder="1" applyAlignment="1">
      <alignment horizontal="center" vertical="center"/>
    </xf>
    <xf numFmtId="4" fontId="0" fillId="0" borderId="0" xfId="0" applyNumberFormat="1" applyBorder="1" applyAlignment="1">
      <alignment horizontal="center" vertical="center"/>
    </xf>
    <xf numFmtId="4" fontId="0" fillId="0" borderId="16" xfId="0" applyNumberFormat="1" applyBorder="1" applyAlignment="1">
      <alignment horizontal="center" vertical="center"/>
    </xf>
    <xf numFmtId="164" fontId="0" fillId="0" borderId="0" xfId="0" applyNumberFormat="1" applyFont="1" applyBorder="1" applyAlignment="1">
      <alignment horizontal="center" vertical="center"/>
    </xf>
    <xf numFmtId="164" fontId="32" fillId="0" borderId="0" xfId="0" applyNumberFormat="1" applyFont="1" applyBorder="1" applyAlignment="1">
      <alignment horizontal="center" vertical="center"/>
    </xf>
    <xf numFmtId="3" fontId="0" fillId="0" borderId="0" xfId="0" applyNumberFormat="1" applyFont="1" applyBorder="1" applyAlignment="1">
      <alignment horizontal="right" vertical="center"/>
    </xf>
    <xf numFmtId="4" fontId="32" fillId="0" borderId="0" xfId="0" applyFont="1" applyFill="1" applyBorder="1" applyAlignment="1">
      <alignment horizontal="center" vertical="center"/>
    </xf>
    <xf numFmtId="164" fontId="0" fillId="0" borderId="0" xfId="0" applyNumberFormat="1" applyFont="1" applyBorder="1" applyAlignment="1">
      <alignment horizontal="left" vertical="center" wrapText="1"/>
    </xf>
    <xf numFmtId="164" fontId="32" fillId="0" borderId="0" xfId="0" applyNumberFormat="1" applyFont="1" applyBorder="1" applyAlignment="1">
      <alignment horizontal="left" vertical="center" wrapText="1"/>
    </xf>
    <xf numFmtId="4" fontId="33" fillId="0" borderId="10" xfId="0" applyFont="1" applyBorder="1" applyAlignment="1">
      <alignment horizontal="center"/>
    </xf>
    <xf numFmtId="4" fontId="33" fillId="0" borderId="11" xfId="0" applyFont="1" applyBorder="1" applyAlignment="1">
      <alignment horizontal="center"/>
    </xf>
    <xf numFmtId="4" fontId="0" fillId="0" borderId="0" xfId="0" applyFont="1" applyBorder="1" applyAlignment="1">
      <alignment horizontal="center" vertical="center"/>
    </xf>
    <xf numFmtId="4" fontId="0" fillId="0" borderId="17" xfId="0" applyFont="1" applyBorder="1" applyAlignment="1">
      <alignment horizontal="center" vertical="center"/>
    </xf>
    <xf numFmtId="4" fontId="0" fillId="0" borderId="19" xfId="0" applyFont="1" applyBorder="1" applyAlignment="1">
      <alignment horizontal="center" vertical="center"/>
    </xf>
  </cellXfs>
  <cellStyles count="106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Good" xfId="29"/>
    <cellStyle name="Heading 1" xfId="30"/>
    <cellStyle name="Heading 2" xfId="31"/>
    <cellStyle name="Heading 3" xfId="32"/>
    <cellStyle name="Heading 4" xfId="33"/>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Input" xfId="34"/>
    <cellStyle name="Linked Cell" xfId="35"/>
    <cellStyle name="Neutral" xfId="36"/>
    <cellStyle name="Normal" xfId="0" builtinId="0" customBuiltin="1"/>
    <cellStyle name="Note" xfId="37"/>
    <cellStyle name="Output" xfId="38"/>
    <cellStyle name="Percent" xfId="39" builtinId="5"/>
    <cellStyle name="Title" xfId="40"/>
    <cellStyle name="Total" xfId="41"/>
    <cellStyle name="Warning Text" xfId="4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479221347332"/>
          <c:y val="0.032384339822101"/>
          <c:w val="0.597223270965418"/>
          <c:h val="0.740911367801695"/>
        </c:manualLayout>
      </c:layout>
      <c:scatterChart>
        <c:scatterStyle val="lineMarker"/>
        <c:varyColors val="0"/>
        <c:ser>
          <c:idx val="1"/>
          <c:order val="0"/>
          <c:tx>
            <c:v>Standard</c:v>
          </c:tx>
          <c:xVal>
            <c:numRef>
              <c:f>'Exam 3'!$B$17:$B$19</c:f>
              <c:numCache>
                <c:formatCode>#,##0</c:formatCode>
                <c:ptCount val="3"/>
                <c:pt idx="0">
                  <c:v>2.0</c:v>
                </c:pt>
                <c:pt idx="1">
                  <c:v>6.0</c:v>
                </c:pt>
                <c:pt idx="2">
                  <c:v>10.0</c:v>
                </c:pt>
              </c:numCache>
            </c:numRef>
          </c:xVal>
          <c:yVal>
            <c:numRef>
              <c:f>'Exam 3'!$D$17:$D$19</c:f>
              <c:numCache>
                <c:formatCode>#,##0.000</c:formatCode>
                <c:ptCount val="3"/>
                <c:pt idx="0">
                  <c:v>6.9</c:v>
                </c:pt>
                <c:pt idx="1">
                  <c:v>6.7</c:v>
                </c:pt>
                <c:pt idx="2">
                  <c:v>6.7</c:v>
                </c:pt>
              </c:numCache>
            </c:numRef>
          </c:yVal>
          <c:smooth val="0"/>
        </c:ser>
        <c:ser>
          <c:idx val="0"/>
          <c:order val="1"/>
          <c:tx>
            <c:v>Technique A</c:v>
          </c:tx>
          <c:xVal>
            <c:numRef>
              <c:f>'Exam 3'!$B$17:$B$19</c:f>
              <c:numCache>
                <c:formatCode>#,##0</c:formatCode>
                <c:ptCount val="3"/>
                <c:pt idx="0">
                  <c:v>2.0</c:v>
                </c:pt>
                <c:pt idx="1">
                  <c:v>6.0</c:v>
                </c:pt>
                <c:pt idx="2">
                  <c:v>10.0</c:v>
                </c:pt>
              </c:numCache>
            </c:numRef>
          </c:xVal>
          <c:yVal>
            <c:numRef>
              <c:f>'Exam 3'!$E$17:$E$19</c:f>
              <c:numCache>
                <c:formatCode>#,##0.000</c:formatCode>
                <c:ptCount val="3"/>
                <c:pt idx="0">
                  <c:v>18.3</c:v>
                </c:pt>
                <c:pt idx="1">
                  <c:v>12.4</c:v>
                </c:pt>
                <c:pt idx="2">
                  <c:v>10.7</c:v>
                </c:pt>
              </c:numCache>
            </c:numRef>
          </c:yVal>
          <c:smooth val="0"/>
        </c:ser>
        <c:ser>
          <c:idx val="2"/>
          <c:order val="2"/>
          <c:tx>
            <c:v>Technique B</c:v>
          </c:tx>
          <c:xVal>
            <c:numRef>
              <c:f>'Exam 3'!$B$17:$B$19</c:f>
              <c:numCache>
                <c:formatCode>#,##0</c:formatCode>
                <c:ptCount val="3"/>
                <c:pt idx="0">
                  <c:v>2.0</c:v>
                </c:pt>
                <c:pt idx="1">
                  <c:v>6.0</c:v>
                </c:pt>
                <c:pt idx="2">
                  <c:v>10.0</c:v>
                </c:pt>
              </c:numCache>
            </c:numRef>
          </c:xVal>
          <c:yVal>
            <c:numRef>
              <c:f>'Exam 3'!$F$17:$F$19</c:f>
              <c:numCache>
                <c:formatCode>#,##0.000</c:formatCode>
                <c:ptCount val="3"/>
                <c:pt idx="0">
                  <c:v>17.8</c:v>
                </c:pt>
                <c:pt idx="1">
                  <c:v>12.8</c:v>
                </c:pt>
                <c:pt idx="2">
                  <c:v>10.9</c:v>
                </c:pt>
              </c:numCache>
            </c:numRef>
          </c:yVal>
          <c:smooth val="0"/>
        </c:ser>
        <c:ser>
          <c:idx val="3"/>
          <c:order val="3"/>
          <c:tx>
            <c:v>Technique C</c:v>
          </c:tx>
          <c:xVal>
            <c:numRef>
              <c:f>'Exam 3'!$B$17:$B$19</c:f>
              <c:numCache>
                <c:formatCode>#,##0</c:formatCode>
                <c:ptCount val="3"/>
                <c:pt idx="0">
                  <c:v>2.0</c:v>
                </c:pt>
                <c:pt idx="1">
                  <c:v>6.0</c:v>
                </c:pt>
                <c:pt idx="2">
                  <c:v>10.0</c:v>
                </c:pt>
              </c:numCache>
            </c:numRef>
          </c:xVal>
          <c:yVal>
            <c:numRef>
              <c:f>'Exam 3'!$G$17:$G$19</c:f>
              <c:numCache>
                <c:formatCode>#,##0.000</c:formatCode>
                <c:ptCount val="3"/>
                <c:pt idx="0">
                  <c:v>18.5</c:v>
                </c:pt>
                <c:pt idx="1">
                  <c:v>13.1</c:v>
                </c:pt>
                <c:pt idx="2">
                  <c:v>11.2</c:v>
                </c:pt>
              </c:numCache>
            </c:numRef>
          </c:yVal>
          <c:smooth val="0"/>
        </c:ser>
        <c:dLbls>
          <c:showLegendKey val="0"/>
          <c:showVal val="0"/>
          <c:showCatName val="0"/>
          <c:showSerName val="0"/>
          <c:showPercent val="0"/>
          <c:showBubbleSize val="0"/>
        </c:dLbls>
        <c:axId val="2126963048"/>
        <c:axId val="2125864696"/>
      </c:scatterChart>
      <c:valAx>
        <c:axId val="2126963048"/>
        <c:scaling>
          <c:orientation val="minMax"/>
        </c:scaling>
        <c:delete val="0"/>
        <c:axPos val="b"/>
        <c:title>
          <c:tx>
            <c:rich>
              <a:bodyPr/>
              <a:lstStyle/>
              <a:p>
                <a:pPr>
                  <a:defRPr/>
                </a:pPr>
                <a:r>
                  <a:rPr lang="en-US"/>
                  <a:t>Starting Grade Level</a:t>
                </a:r>
              </a:p>
            </c:rich>
          </c:tx>
          <c:layout>
            <c:manualLayout>
              <c:xMode val="edge"/>
              <c:yMode val="edge"/>
              <c:x val="0.421557101632677"/>
              <c:y val="0.894993086248799"/>
            </c:manualLayout>
          </c:layout>
          <c:overlay val="0"/>
        </c:title>
        <c:numFmt formatCode="#,##0" sourceLinked="0"/>
        <c:majorTickMark val="out"/>
        <c:minorTickMark val="none"/>
        <c:tickLblPos val="nextTo"/>
        <c:crossAx val="2125864696"/>
        <c:crosses val="autoZero"/>
        <c:crossBetween val="midCat"/>
      </c:valAx>
      <c:valAx>
        <c:axId val="2125864696"/>
        <c:scaling>
          <c:orientation val="minMax"/>
        </c:scaling>
        <c:delete val="0"/>
        <c:axPos val="l"/>
        <c:majorGridlines/>
        <c:title>
          <c:tx>
            <c:rich>
              <a:bodyPr/>
              <a:lstStyle/>
              <a:p>
                <a:pPr>
                  <a:defRPr/>
                </a:pPr>
                <a:r>
                  <a:rPr lang="en-US"/>
                  <a:t>Vocabulary</a:t>
                </a:r>
                <a:r>
                  <a:rPr lang="en-US" baseline="0"/>
                  <a:t> Score</a:t>
                </a:r>
                <a:endParaRPr lang="en-US"/>
              </a:p>
            </c:rich>
          </c:tx>
          <c:overlay val="0"/>
        </c:title>
        <c:numFmt formatCode="#,##0" sourceLinked="0"/>
        <c:majorTickMark val="out"/>
        <c:minorTickMark val="none"/>
        <c:tickLblPos val="nextTo"/>
        <c:spPr>
          <a:ln>
            <a:solidFill>
              <a:schemeClr val="tx1"/>
            </a:solidFill>
          </a:ln>
        </c:spPr>
        <c:crossAx val="2126963048"/>
        <c:crosses val="autoZero"/>
        <c:crossBetween val="midCat"/>
      </c:valAx>
      <c:spPr>
        <a:ln>
          <a:solidFill>
            <a:schemeClr val="tx1"/>
          </a:solidFill>
        </a:ln>
      </c:spPr>
    </c:plotArea>
    <c:legend>
      <c:legendPos val="r"/>
      <c:overlay val="0"/>
    </c:legend>
    <c:plotVisOnly val="1"/>
    <c:dispBlanksAs val="gap"/>
    <c:showDLblsOverMax val="0"/>
  </c:chart>
  <c:spPr>
    <a:ln>
      <a:solidFill>
        <a:schemeClr val="tx1"/>
      </a:solidFill>
    </a:ln>
  </c:sp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'Exam 4'!$C$82:$C$92</c:f>
              <c:numCache>
                <c:formatCode>#,##0.0</c:formatCode>
                <c:ptCount val="11"/>
                <c:pt idx="0">
                  <c:v>20.1</c:v>
                </c:pt>
                <c:pt idx="1">
                  <c:v>11.6</c:v>
                </c:pt>
                <c:pt idx="2">
                  <c:v>17.6</c:v>
                </c:pt>
                <c:pt idx="3">
                  <c:v>10.3</c:v>
                </c:pt>
                <c:pt idx="4">
                  <c:v>13.6</c:v>
                </c:pt>
                <c:pt idx="5">
                  <c:v>4.1</c:v>
                </c:pt>
                <c:pt idx="6">
                  <c:v>19.8</c:v>
                </c:pt>
                <c:pt idx="7">
                  <c:v>4.0</c:v>
                </c:pt>
                <c:pt idx="8">
                  <c:v>5.6</c:v>
                </c:pt>
                <c:pt idx="9">
                  <c:v>5.5</c:v>
                </c:pt>
                <c:pt idx="10">
                  <c:v>3.8</c:v>
                </c:pt>
              </c:numCache>
            </c:numRef>
          </c:xVal>
          <c:yVal>
            <c:numRef>
              <c:f>'Exam 4'!$H$82:$H$92</c:f>
              <c:numCache>
                <c:formatCode>#,##0</c:formatCode>
                <c:ptCount val="11"/>
                <c:pt idx="0">
                  <c:v>55.87808417997097</c:v>
                </c:pt>
                <c:pt idx="1">
                  <c:v>57.74016923842707</c:v>
                </c:pt>
                <c:pt idx="2">
                  <c:v>43.94046775336641</c:v>
                </c:pt>
                <c:pt idx="3">
                  <c:v>42.59438528557598</c:v>
                </c:pt>
                <c:pt idx="4">
                  <c:v>64.77732793522267</c:v>
                </c:pt>
                <c:pt idx="5">
                  <c:v>70.25246981339188</c:v>
                </c:pt>
                <c:pt idx="6">
                  <c:v>70.57416267942583</c:v>
                </c:pt>
                <c:pt idx="7">
                  <c:v>59.00621118012422</c:v>
                </c:pt>
                <c:pt idx="8">
                  <c:v>156.8627450980392</c:v>
                </c:pt>
                <c:pt idx="9">
                  <c:v>126.1061946902655</c:v>
                </c:pt>
                <c:pt idx="10">
                  <c:v>123.4866828087167</c:v>
                </c:pt>
              </c:numCache>
            </c:numRef>
          </c:yVal>
          <c:smooth val="0"/>
        </c:ser>
        <c:dLbls>
          <c:showLegendKey val="0"/>
          <c:showVal val="0"/>
          <c:showCatName val="0"/>
          <c:showSerName val="0"/>
          <c:showPercent val="0"/>
          <c:showBubbleSize val="0"/>
        </c:dLbls>
        <c:axId val="2126167880"/>
        <c:axId val="2126170904"/>
      </c:scatterChart>
      <c:valAx>
        <c:axId val="2126167880"/>
        <c:scaling>
          <c:orientation val="minMax"/>
        </c:scaling>
        <c:delete val="0"/>
        <c:axPos val="b"/>
        <c:numFmt formatCode="#,##0.0" sourceLinked="1"/>
        <c:majorTickMark val="out"/>
        <c:minorTickMark val="none"/>
        <c:tickLblPos val="nextTo"/>
        <c:crossAx val="2126170904"/>
        <c:crosses val="autoZero"/>
        <c:crossBetween val="midCat"/>
      </c:valAx>
      <c:valAx>
        <c:axId val="2126170904"/>
        <c:scaling>
          <c:orientation val="minMax"/>
        </c:scaling>
        <c:delete val="0"/>
        <c:axPos val="l"/>
        <c:majorGridlines/>
        <c:numFmt formatCode="#,##0" sourceLinked="1"/>
        <c:majorTickMark val="out"/>
        <c:minorTickMark val="none"/>
        <c:tickLblPos val="nextTo"/>
        <c:crossAx val="2126167880"/>
        <c:crosses val="autoZero"/>
        <c:crossBetween val="midCat"/>
      </c:valAx>
    </c:plotArea>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332982144838"/>
          <c:y val="0.0526706750408912"/>
          <c:w val="0.726893368082511"/>
          <c:h val="0.743469689422037"/>
        </c:manualLayout>
      </c:layout>
      <c:scatterChart>
        <c:scatterStyle val="lineMarker"/>
        <c:varyColors val="0"/>
        <c:ser>
          <c:idx val="0"/>
          <c:order val="0"/>
          <c:tx>
            <c:v>correlation</c:v>
          </c:tx>
          <c:spPr>
            <a:ln w="28575">
              <a:noFill/>
            </a:ln>
          </c:spPr>
          <c:marker>
            <c:symbol val="circle"/>
            <c:size val="5"/>
            <c:spPr>
              <a:ln>
                <a:noFill/>
              </a:ln>
            </c:spPr>
          </c:marker>
          <c:xVal>
            <c:numRef>
              <c:f>'Exam 5'!$C$3:$C$15</c:f>
              <c:numCache>
                <c:formatCode>#,##0.00</c:formatCode>
                <c:ptCount val="13"/>
                <c:pt idx="0">
                  <c:v>5.15</c:v>
                </c:pt>
                <c:pt idx="1">
                  <c:v>4.769999999999999</c:v>
                </c:pt>
                <c:pt idx="2">
                  <c:v>4.52</c:v>
                </c:pt>
                <c:pt idx="3">
                  <c:v>3.99</c:v>
                </c:pt>
                <c:pt idx="4">
                  <c:v>3.64</c:v>
                </c:pt>
                <c:pt idx="5">
                  <c:v>2.93</c:v>
                </c:pt>
                <c:pt idx="7">
                  <c:v>1.5</c:v>
                </c:pt>
                <c:pt idx="8">
                  <c:v>1.2</c:v>
                </c:pt>
                <c:pt idx="9">
                  <c:v>0.95</c:v>
                </c:pt>
                <c:pt idx="10">
                  <c:v>0.52</c:v>
                </c:pt>
                <c:pt idx="11">
                  <c:v>0.5</c:v>
                </c:pt>
                <c:pt idx="12">
                  <c:v>0.3</c:v>
                </c:pt>
              </c:numCache>
            </c:numRef>
          </c:xVal>
          <c:yVal>
            <c:numRef>
              <c:f>'Exam 5'!$D$3:$D$15</c:f>
              <c:numCache>
                <c:formatCode>#,##0.00</c:formatCode>
                <c:ptCount val="13"/>
                <c:pt idx="0">
                  <c:v>4.3</c:v>
                </c:pt>
                <c:pt idx="1">
                  <c:v>4.4</c:v>
                </c:pt>
                <c:pt idx="2">
                  <c:v>5.0</c:v>
                </c:pt>
                <c:pt idx="3">
                  <c:v>5.5</c:v>
                </c:pt>
                <c:pt idx="4">
                  <c:v>5.6</c:v>
                </c:pt>
                <c:pt idx="5">
                  <c:v>6.6</c:v>
                </c:pt>
                <c:pt idx="7">
                  <c:v>2.0</c:v>
                </c:pt>
                <c:pt idx="8">
                  <c:v>2.4</c:v>
                </c:pt>
                <c:pt idx="9">
                  <c:v>2.7</c:v>
                </c:pt>
                <c:pt idx="10">
                  <c:v>3.0</c:v>
                </c:pt>
                <c:pt idx="11">
                  <c:v>3.0</c:v>
                </c:pt>
                <c:pt idx="12">
                  <c:v>3.5</c:v>
                </c:pt>
              </c:numCache>
            </c:numRef>
          </c:yVal>
          <c:smooth val="0"/>
        </c:ser>
        <c:dLbls>
          <c:showLegendKey val="0"/>
          <c:showVal val="0"/>
          <c:showCatName val="0"/>
          <c:showSerName val="0"/>
          <c:showPercent val="0"/>
          <c:showBubbleSize val="0"/>
        </c:dLbls>
        <c:axId val="2079436168"/>
        <c:axId val="2118930456"/>
      </c:scatterChart>
      <c:valAx>
        <c:axId val="2079436168"/>
        <c:scaling>
          <c:orientation val="minMax"/>
        </c:scaling>
        <c:delete val="0"/>
        <c:axPos val="b"/>
        <c:title>
          <c:tx>
            <c:rich>
              <a:bodyPr/>
              <a:lstStyle/>
              <a:p>
                <a:pPr>
                  <a:defRPr sz="1200" b="0"/>
                </a:pPr>
                <a:r>
                  <a:rPr lang="en-US" sz="1200" b="0"/>
                  <a:t>X  = Church</a:t>
                </a:r>
                <a:r>
                  <a:rPr lang="en-US" sz="1200" b="0" baseline="0"/>
                  <a:t> Prevelence</a:t>
                </a:r>
                <a:endParaRPr lang="en-US" sz="1200" b="0"/>
              </a:p>
            </c:rich>
          </c:tx>
          <c:layout>
            <c:manualLayout>
              <c:xMode val="edge"/>
              <c:yMode val="edge"/>
              <c:x val="0.357135965398691"/>
              <c:y val="0.910187385367145"/>
            </c:manualLayout>
          </c:layout>
          <c:overlay val="0"/>
        </c:title>
        <c:numFmt formatCode="#,##0.0" sourceLinked="0"/>
        <c:majorTickMark val="in"/>
        <c:minorTickMark val="none"/>
        <c:tickLblPos val="nextTo"/>
        <c:spPr>
          <a:ln>
            <a:solidFill>
              <a:schemeClr val="tx1"/>
            </a:solidFill>
          </a:ln>
        </c:spPr>
        <c:txPr>
          <a:bodyPr anchor="t" anchorCtr="0"/>
          <a:lstStyle/>
          <a:p>
            <a:pPr>
              <a:defRPr sz="1200"/>
            </a:pPr>
            <a:endParaRPr lang="en-US"/>
          </a:p>
        </c:txPr>
        <c:crossAx val="2118930456"/>
        <c:crosses val="autoZero"/>
        <c:crossBetween val="midCat"/>
      </c:valAx>
      <c:valAx>
        <c:axId val="2118930456"/>
        <c:scaling>
          <c:orientation val="minMax"/>
        </c:scaling>
        <c:delete val="0"/>
        <c:axPos val="l"/>
        <c:majorGridlines>
          <c:spPr>
            <a:ln>
              <a:noFill/>
            </a:ln>
          </c:spPr>
        </c:majorGridlines>
        <c:title>
          <c:tx>
            <c:rich>
              <a:bodyPr/>
              <a:lstStyle/>
              <a:p>
                <a:pPr>
                  <a:defRPr sz="1200" b="0"/>
                </a:pPr>
                <a:r>
                  <a:rPr lang="en-US" sz="1200" b="0"/>
                  <a:t>Y = Alcohol Prevelence</a:t>
                </a:r>
              </a:p>
            </c:rich>
          </c:tx>
          <c:layout>
            <c:manualLayout>
              <c:xMode val="edge"/>
              <c:yMode val="edge"/>
              <c:x val="0.0224531440612177"/>
              <c:y val="0.227293950443792"/>
            </c:manualLayout>
          </c:layout>
          <c:overlay val="0"/>
        </c:title>
        <c:numFmt formatCode="#,##0" sourceLinked="0"/>
        <c:majorTickMark val="in"/>
        <c:minorTickMark val="none"/>
        <c:tickLblPos val="nextTo"/>
        <c:spPr>
          <a:ln w="12700" cmpd="sng">
            <a:solidFill>
              <a:schemeClr val="tx1"/>
            </a:solidFill>
          </a:ln>
        </c:spPr>
        <c:txPr>
          <a:bodyPr/>
          <a:lstStyle/>
          <a:p>
            <a:pPr>
              <a:defRPr sz="1200"/>
            </a:pPr>
            <a:endParaRPr lang="en-US"/>
          </a:p>
        </c:txPr>
        <c:crossAx val="2079436168"/>
        <c:crosses val="autoZero"/>
        <c:crossBetween val="midCat"/>
      </c:valAx>
      <c:spPr>
        <a:ln w="19050" cmpd="sng">
          <a:solidFill>
            <a:schemeClr val="tx1"/>
          </a:solidFill>
        </a:ln>
      </c:spPr>
    </c:plotArea>
    <c:plotVisOnly val="1"/>
    <c:dispBlanksAs val="gap"/>
    <c:showDLblsOverMax val="0"/>
  </c:chart>
  <c:spPr>
    <a:solidFill>
      <a:schemeClr val="bg1">
        <a:lumMod val="65000"/>
      </a:schemeClr>
    </a:solidFill>
    <a:ln w="12700" cmpd="sng">
      <a:solidFill>
        <a:schemeClr val="tx1"/>
      </a:solid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'Exam 3'!$D$166</c:f>
              <c:strCache>
                <c:ptCount val="1"/>
                <c:pt idx="0">
                  <c:v>1</c:v>
                </c:pt>
              </c:strCache>
            </c:strRef>
          </c:tx>
          <c:marker>
            <c:symbol val="star"/>
            <c:size val="7"/>
          </c:marker>
          <c:xVal>
            <c:numRef>
              <c:f>'Exam 3'!$D$166:$E$166</c:f>
              <c:numCache>
                <c:formatCode>#,##0</c:formatCode>
                <c:ptCount val="2"/>
                <c:pt idx="0">
                  <c:v>1.0</c:v>
                </c:pt>
                <c:pt idx="1">
                  <c:v>2.0</c:v>
                </c:pt>
              </c:numCache>
            </c:numRef>
          </c:xVal>
          <c:yVal>
            <c:numRef>
              <c:f>'Exam 3'!$D$167:$E$167</c:f>
              <c:numCache>
                <c:formatCode>#,##0.0</c:formatCode>
                <c:ptCount val="2"/>
                <c:pt idx="0">
                  <c:v>1.0</c:v>
                </c:pt>
                <c:pt idx="1">
                  <c:v>2.0</c:v>
                </c:pt>
              </c:numCache>
            </c:numRef>
          </c:yVal>
          <c:smooth val="0"/>
        </c:ser>
        <c:ser>
          <c:idx val="1"/>
          <c:order val="1"/>
          <c:tx>
            <c:strRef>
              <c:f>'Exam 3'!$E$166</c:f>
              <c:strCache>
                <c:ptCount val="1"/>
                <c:pt idx="0">
                  <c:v>2</c:v>
                </c:pt>
              </c:strCache>
            </c:strRef>
          </c:tx>
          <c:marker>
            <c:symbol val="circle"/>
            <c:size val="7"/>
            <c:spPr>
              <a:noFill/>
            </c:spPr>
          </c:marker>
          <c:xVal>
            <c:numRef>
              <c:f>'Exam 3'!$D$166:$E$166</c:f>
              <c:numCache>
                <c:formatCode>#,##0</c:formatCode>
                <c:ptCount val="2"/>
                <c:pt idx="0">
                  <c:v>1.0</c:v>
                </c:pt>
                <c:pt idx="1">
                  <c:v>2.0</c:v>
                </c:pt>
              </c:numCache>
            </c:numRef>
          </c:xVal>
          <c:yVal>
            <c:numRef>
              <c:f>'Exam 3'!$D$168:$E$168</c:f>
              <c:numCache>
                <c:formatCode>#,##0.0</c:formatCode>
                <c:ptCount val="2"/>
                <c:pt idx="0">
                  <c:v>2.0</c:v>
                </c:pt>
                <c:pt idx="1">
                  <c:v>4.0</c:v>
                </c:pt>
              </c:numCache>
            </c:numRef>
          </c:yVal>
          <c:smooth val="0"/>
        </c:ser>
        <c:dLbls>
          <c:showLegendKey val="0"/>
          <c:showVal val="0"/>
          <c:showCatName val="0"/>
          <c:showSerName val="0"/>
          <c:showPercent val="0"/>
          <c:showBubbleSize val="0"/>
        </c:dLbls>
        <c:axId val="2125907752"/>
        <c:axId val="2125914712"/>
      </c:scatterChart>
      <c:valAx>
        <c:axId val="2125907752"/>
        <c:scaling>
          <c:orientation val="minMax"/>
          <c:max val="3.0"/>
        </c:scaling>
        <c:delete val="0"/>
        <c:axPos val="b"/>
        <c:title>
          <c:tx>
            <c:rich>
              <a:bodyPr/>
              <a:lstStyle/>
              <a:p>
                <a:pPr>
                  <a:defRPr/>
                </a:pPr>
                <a:r>
                  <a:rPr lang="en-US"/>
                  <a:t>Factor 1</a:t>
                </a:r>
              </a:p>
            </c:rich>
          </c:tx>
          <c:overlay val="0"/>
        </c:title>
        <c:numFmt formatCode="#,##0" sourceLinked="1"/>
        <c:majorTickMark val="out"/>
        <c:minorTickMark val="none"/>
        <c:tickLblPos val="nextTo"/>
        <c:crossAx val="2125914712"/>
        <c:crossesAt val="0.0"/>
        <c:crossBetween val="midCat"/>
      </c:valAx>
      <c:valAx>
        <c:axId val="2125914712"/>
        <c:scaling>
          <c:orientation val="minMax"/>
          <c:max val="4.0"/>
          <c:min val="0.0"/>
        </c:scaling>
        <c:delete val="0"/>
        <c:axPos val="l"/>
        <c:majorGridlines>
          <c:spPr>
            <a:ln>
              <a:noFill/>
            </a:ln>
          </c:spPr>
        </c:majorGridlines>
        <c:title>
          <c:tx>
            <c:rich>
              <a:bodyPr/>
              <a:lstStyle/>
              <a:p>
                <a:pPr>
                  <a:defRPr/>
                </a:pPr>
                <a:r>
                  <a:rPr lang="en-US"/>
                  <a:t>Dependent Variable</a:t>
                </a:r>
              </a:p>
            </c:rich>
          </c:tx>
          <c:layout>
            <c:manualLayout>
              <c:xMode val="edge"/>
              <c:yMode val="edge"/>
              <c:x val="0.0747282608695652"/>
              <c:y val="0.015625"/>
            </c:manualLayout>
          </c:layout>
          <c:overlay val="0"/>
        </c:title>
        <c:numFmt formatCode="#,##0" sourceLinked="0"/>
        <c:majorTickMark val="out"/>
        <c:minorTickMark val="none"/>
        <c:tickLblPos val="nextTo"/>
        <c:crossAx val="2125907752"/>
        <c:crosses val="autoZero"/>
        <c:crossBetween val="midCat"/>
        <c:majorUnit val="1.0"/>
        <c:minorUnit val="0.2"/>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'Exam 3'!$D$142</c:f>
              <c:strCache>
                <c:ptCount val="1"/>
                <c:pt idx="0">
                  <c:v>1</c:v>
                </c:pt>
              </c:strCache>
            </c:strRef>
          </c:tx>
          <c:marker>
            <c:symbol val="star"/>
            <c:size val="7"/>
          </c:marker>
          <c:xVal>
            <c:numRef>
              <c:f>'Exam 3'!$D$142:$E$142</c:f>
              <c:numCache>
                <c:formatCode>#,##0</c:formatCode>
                <c:ptCount val="2"/>
                <c:pt idx="0">
                  <c:v>1.0</c:v>
                </c:pt>
                <c:pt idx="1">
                  <c:v>2.0</c:v>
                </c:pt>
              </c:numCache>
            </c:numRef>
          </c:xVal>
          <c:yVal>
            <c:numRef>
              <c:f>'Exam 3'!$D$143:$E$143</c:f>
              <c:numCache>
                <c:formatCode>#,##0.0</c:formatCode>
                <c:ptCount val="2"/>
                <c:pt idx="0">
                  <c:v>2.0</c:v>
                </c:pt>
                <c:pt idx="1">
                  <c:v>2.0</c:v>
                </c:pt>
              </c:numCache>
            </c:numRef>
          </c:yVal>
          <c:smooth val="0"/>
        </c:ser>
        <c:ser>
          <c:idx val="1"/>
          <c:order val="1"/>
          <c:tx>
            <c:strRef>
              <c:f>'Exam 3'!$E$142</c:f>
              <c:strCache>
                <c:ptCount val="1"/>
                <c:pt idx="0">
                  <c:v>2</c:v>
                </c:pt>
              </c:strCache>
            </c:strRef>
          </c:tx>
          <c:marker>
            <c:symbol val="circle"/>
            <c:size val="7"/>
            <c:spPr>
              <a:noFill/>
            </c:spPr>
          </c:marker>
          <c:xVal>
            <c:numRef>
              <c:f>'Exam 3'!$D$142:$E$142</c:f>
              <c:numCache>
                <c:formatCode>#,##0</c:formatCode>
                <c:ptCount val="2"/>
                <c:pt idx="0">
                  <c:v>1.0</c:v>
                </c:pt>
                <c:pt idx="1">
                  <c:v>2.0</c:v>
                </c:pt>
              </c:numCache>
            </c:numRef>
          </c:xVal>
          <c:yVal>
            <c:numRef>
              <c:f>'Exam 3'!$D$144:$E$144</c:f>
              <c:numCache>
                <c:formatCode>#,##0.0</c:formatCode>
                <c:ptCount val="2"/>
                <c:pt idx="0">
                  <c:v>2.0</c:v>
                </c:pt>
                <c:pt idx="1">
                  <c:v>2.0</c:v>
                </c:pt>
              </c:numCache>
            </c:numRef>
          </c:yVal>
          <c:smooth val="0"/>
        </c:ser>
        <c:dLbls>
          <c:showLegendKey val="0"/>
          <c:showVal val="0"/>
          <c:showCatName val="0"/>
          <c:showSerName val="0"/>
          <c:showPercent val="0"/>
          <c:showBubbleSize val="0"/>
        </c:dLbls>
        <c:axId val="2125956648"/>
        <c:axId val="2125963544"/>
      </c:scatterChart>
      <c:valAx>
        <c:axId val="2125956648"/>
        <c:scaling>
          <c:orientation val="minMax"/>
          <c:max val="3.0"/>
        </c:scaling>
        <c:delete val="0"/>
        <c:axPos val="b"/>
        <c:title>
          <c:tx>
            <c:rich>
              <a:bodyPr/>
              <a:lstStyle/>
              <a:p>
                <a:pPr>
                  <a:defRPr/>
                </a:pPr>
                <a:r>
                  <a:rPr lang="en-US"/>
                  <a:t>Factor 1</a:t>
                </a:r>
              </a:p>
            </c:rich>
          </c:tx>
          <c:overlay val="0"/>
        </c:title>
        <c:numFmt formatCode="#,##0" sourceLinked="1"/>
        <c:majorTickMark val="out"/>
        <c:minorTickMark val="none"/>
        <c:tickLblPos val="nextTo"/>
        <c:crossAx val="2125963544"/>
        <c:crossesAt val="0.0"/>
        <c:crossBetween val="midCat"/>
      </c:valAx>
      <c:valAx>
        <c:axId val="2125963544"/>
        <c:scaling>
          <c:orientation val="minMax"/>
          <c:max val="4.0"/>
          <c:min val="0.0"/>
        </c:scaling>
        <c:delete val="0"/>
        <c:axPos val="l"/>
        <c:majorGridlines>
          <c:spPr>
            <a:ln>
              <a:noFill/>
            </a:ln>
          </c:spPr>
        </c:majorGridlines>
        <c:title>
          <c:tx>
            <c:rich>
              <a:bodyPr/>
              <a:lstStyle/>
              <a:p>
                <a:pPr>
                  <a:defRPr/>
                </a:pPr>
                <a:r>
                  <a:rPr lang="en-US"/>
                  <a:t>Dependent Variable</a:t>
                </a:r>
              </a:p>
            </c:rich>
          </c:tx>
          <c:layout>
            <c:manualLayout>
              <c:xMode val="edge"/>
              <c:yMode val="edge"/>
              <c:x val="0.0747282608695652"/>
              <c:y val="0.015625"/>
            </c:manualLayout>
          </c:layout>
          <c:overlay val="0"/>
        </c:title>
        <c:numFmt formatCode="#,##0" sourceLinked="0"/>
        <c:majorTickMark val="out"/>
        <c:minorTickMark val="none"/>
        <c:tickLblPos val="nextTo"/>
        <c:crossAx val="2125956648"/>
        <c:crosses val="autoZero"/>
        <c:crossBetween val="midCat"/>
        <c:majorUnit val="1.0"/>
        <c:minorUnit val="0.2"/>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'Exam 3'!$D$129</c:f>
              <c:strCache>
                <c:ptCount val="1"/>
                <c:pt idx="0">
                  <c:v>1</c:v>
                </c:pt>
              </c:strCache>
            </c:strRef>
          </c:tx>
          <c:marker>
            <c:symbol val="star"/>
            <c:size val="7"/>
          </c:marker>
          <c:xVal>
            <c:numRef>
              <c:f>'Exam 3'!$D$129:$E$129</c:f>
              <c:numCache>
                <c:formatCode>#,##0</c:formatCode>
                <c:ptCount val="2"/>
                <c:pt idx="0">
                  <c:v>1.0</c:v>
                </c:pt>
                <c:pt idx="1">
                  <c:v>2.0</c:v>
                </c:pt>
              </c:numCache>
            </c:numRef>
          </c:xVal>
          <c:yVal>
            <c:numRef>
              <c:f>'Exam 3'!$D$130:$E$130</c:f>
              <c:numCache>
                <c:formatCode>#,##0.0</c:formatCode>
                <c:ptCount val="2"/>
                <c:pt idx="0">
                  <c:v>1.0</c:v>
                </c:pt>
                <c:pt idx="1">
                  <c:v>1.0</c:v>
                </c:pt>
              </c:numCache>
            </c:numRef>
          </c:yVal>
          <c:smooth val="0"/>
        </c:ser>
        <c:ser>
          <c:idx val="1"/>
          <c:order val="1"/>
          <c:tx>
            <c:strRef>
              <c:f>'Exam 3'!$E$129</c:f>
              <c:strCache>
                <c:ptCount val="1"/>
                <c:pt idx="0">
                  <c:v>2</c:v>
                </c:pt>
              </c:strCache>
            </c:strRef>
          </c:tx>
          <c:marker>
            <c:symbol val="circle"/>
            <c:size val="7"/>
            <c:spPr>
              <a:noFill/>
            </c:spPr>
          </c:marker>
          <c:xVal>
            <c:numRef>
              <c:f>'Exam 3'!$D$129:$E$129</c:f>
              <c:numCache>
                <c:formatCode>#,##0</c:formatCode>
                <c:ptCount val="2"/>
                <c:pt idx="0">
                  <c:v>1.0</c:v>
                </c:pt>
                <c:pt idx="1">
                  <c:v>2.0</c:v>
                </c:pt>
              </c:numCache>
            </c:numRef>
          </c:xVal>
          <c:yVal>
            <c:numRef>
              <c:f>'Exam 3'!$D$131:$E$131</c:f>
              <c:numCache>
                <c:formatCode>#,##0.0</c:formatCode>
                <c:ptCount val="2"/>
                <c:pt idx="0">
                  <c:v>2.0</c:v>
                </c:pt>
                <c:pt idx="1">
                  <c:v>2.0</c:v>
                </c:pt>
              </c:numCache>
            </c:numRef>
          </c:yVal>
          <c:smooth val="0"/>
        </c:ser>
        <c:dLbls>
          <c:showLegendKey val="0"/>
          <c:showVal val="0"/>
          <c:showCatName val="0"/>
          <c:showSerName val="0"/>
          <c:showPercent val="0"/>
          <c:showBubbleSize val="0"/>
        </c:dLbls>
        <c:axId val="2125993256"/>
        <c:axId val="2126000152"/>
      </c:scatterChart>
      <c:valAx>
        <c:axId val="2125993256"/>
        <c:scaling>
          <c:orientation val="minMax"/>
          <c:max val="3.0"/>
        </c:scaling>
        <c:delete val="0"/>
        <c:axPos val="b"/>
        <c:title>
          <c:tx>
            <c:rich>
              <a:bodyPr/>
              <a:lstStyle/>
              <a:p>
                <a:pPr>
                  <a:defRPr/>
                </a:pPr>
                <a:r>
                  <a:rPr lang="en-US"/>
                  <a:t>Factor 1</a:t>
                </a:r>
              </a:p>
              <a:p>
                <a:pPr>
                  <a:defRPr/>
                </a:pPr>
                <a:endParaRPr lang="en-US"/>
              </a:p>
            </c:rich>
          </c:tx>
          <c:overlay val="0"/>
        </c:title>
        <c:numFmt formatCode="#,##0" sourceLinked="1"/>
        <c:majorTickMark val="out"/>
        <c:minorTickMark val="none"/>
        <c:tickLblPos val="nextTo"/>
        <c:crossAx val="2126000152"/>
        <c:crossesAt val="0.0"/>
        <c:crossBetween val="midCat"/>
      </c:valAx>
      <c:valAx>
        <c:axId val="2126000152"/>
        <c:scaling>
          <c:orientation val="minMax"/>
          <c:max val="4.0"/>
          <c:min val="0.0"/>
        </c:scaling>
        <c:delete val="0"/>
        <c:axPos val="l"/>
        <c:majorGridlines>
          <c:spPr>
            <a:ln>
              <a:noFill/>
            </a:ln>
          </c:spPr>
        </c:majorGridlines>
        <c:title>
          <c:tx>
            <c:rich>
              <a:bodyPr/>
              <a:lstStyle/>
              <a:p>
                <a:pPr>
                  <a:defRPr/>
                </a:pPr>
                <a:r>
                  <a:rPr lang="en-US"/>
                  <a:t>Dependent Variable</a:t>
                </a:r>
              </a:p>
            </c:rich>
          </c:tx>
          <c:layout>
            <c:manualLayout>
              <c:xMode val="edge"/>
              <c:yMode val="edge"/>
              <c:x val="0.0747282608695652"/>
              <c:y val="0.015625"/>
            </c:manualLayout>
          </c:layout>
          <c:overlay val="0"/>
        </c:title>
        <c:numFmt formatCode="#,##0" sourceLinked="0"/>
        <c:majorTickMark val="out"/>
        <c:minorTickMark val="none"/>
        <c:tickLblPos val="nextTo"/>
        <c:crossAx val="2125993256"/>
        <c:crosses val="autoZero"/>
        <c:crossBetween val="midCat"/>
        <c:majorUnit val="1.0"/>
        <c:minorUnit val="0.2"/>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'Exam 3'!$C$155</c:f>
              <c:strCache>
                <c:ptCount val="1"/>
                <c:pt idx="0">
                  <c:v>Level 1</c:v>
                </c:pt>
              </c:strCache>
            </c:strRef>
          </c:tx>
          <c:marker>
            <c:symbol val="star"/>
            <c:size val="7"/>
          </c:marker>
          <c:xVal>
            <c:numRef>
              <c:f>'Exam 3'!$D$154:$E$154</c:f>
              <c:numCache>
                <c:formatCode>#,##0</c:formatCode>
                <c:ptCount val="2"/>
                <c:pt idx="0">
                  <c:v>1.0</c:v>
                </c:pt>
                <c:pt idx="1">
                  <c:v>2.0</c:v>
                </c:pt>
              </c:numCache>
            </c:numRef>
          </c:xVal>
          <c:yVal>
            <c:numRef>
              <c:f>'Exam 3'!$D$155:$E$155</c:f>
              <c:numCache>
                <c:formatCode>#,##0.0</c:formatCode>
                <c:ptCount val="2"/>
                <c:pt idx="0">
                  <c:v>1.0</c:v>
                </c:pt>
                <c:pt idx="1">
                  <c:v>2.0</c:v>
                </c:pt>
              </c:numCache>
            </c:numRef>
          </c:yVal>
          <c:smooth val="0"/>
        </c:ser>
        <c:ser>
          <c:idx val="1"/>
          <c:order val="1"/>
          <c:tx>
            <c:strRef>
              <c:f>'Exam 3'!$C$156</c:f>
              <c:strCache>
                <c:ptCount val="1"/>
                <c:pt idx="0">
                  <c:v>Level 2</c:v>
                </c:pt>
              </c:strCache>
            </c:strRef>
          </c:tx>
          <c:marker>
            <c:symbol val="circle"/>
            <c:size val="7"/>
            <c:spPr>
              <a:noFill/>
            </c:spPr>
          </c:marker>
          <c:xVal>
            <c:numRef>
              <c:f>'Exam 3'!$D$154:$E$154</c:f>
              <c:numCache>
                <c:formatCode>#,##0</c:formatCode>
                <c:ptCount val="2"/>
                <c:pt idx="0">
                  <c:v>1.0</c:v>
                </c:pt>
                <c:pt idx="1">
                  <c:v>2.0</c:v>
                </c:pt>
              </c:numCache>
            </c:numRef>
          </c:xVal>
          <c:yVal>
            <c:numRef>
              <c:f>'Exam 3'!$D$156:$E$156</c:f>
              <c:numCache>
                <c:formatCode>#,##0.0</c:formatCode>
                <c:ptCount val="2"/>
                <c:pt idx="0">
                  <c:v>1.0</c:v>
                </c:pt>
                <c:pt idx="1">
                  <c:v>2.0</c:v>
                </c:pt>
              </c:numCache>
            </c:numRef>
          </c:yVal>
          <c:smooth val="0"/>
        </c:ser>
        <c:dLbls>
          <c:showLegendKey val="0"/>
          <c:showVal val="0"/>
          <c:showCatName val="0"/>
          <c:showSerName val="0"/>
          <c:showPercent val="0"/>
          <c:showBubbleSize val="0"/>
        </c:dLbls>
        <c:axId val="2126027896"/>
        <c:axId val="2126034792"/>
      </c:scatterChart>
      <c:valAx>
        <c:axId val="2126027896"/>
        <c:scaling>
          <c:orientation val="minMax"/>
          <c:max val="3.0"/>
        </c:scaling>
        <c:delete val="0"/>
        <c:axPos val="b"/>
        <c:title>
          <c:tx>
            <c:rich>
              <a:bodyPr/>
              <a:lstStyle/>
              <a:p>
                <a:pPr>
                  <a:defRPr/>
                </a:pPr>
                <a:r>
                  <a:rPr lang="en-US"/>
                  <a:t>Factor 1</a:t>
                </a:r>
              </a:p>
            </c:rich>
          </c:tx>
          <c:overlay val="0"/>
        </c:title>
        <c:numFmt formatCode="#,##0" sourceLinked="1"/>
        <c:majorTickMark val="out"/>
        <c:minorTickMark val="none"/>
        <c:tickLblPos val="nextTo"/>
        <c:crossAx val="2126034792"/>
        <c:crossesAt val="0.0"/>
        <c:crossBetween val="midCat"/>
      </c:valAx>
      <c:valAx>
        <c:axId val="2126034792"/>
        <c:scaling>
          <c:orientation val="minMax"/>
          <c:max val="4.0"/>
          <c:min val="0.0"/>
        </c:scaling>
        <c:delete val="0"/>
        <c:axPos val="l"/>
        <c:majorGridlines>
          <c:spPr>
            <a:ln>
              <a:noFill/>
            </a:ln>
          </c:spPr>
        </c:majorGridlines>
        <c:title>
          <c:tx>
            <c:rich>
              <a:bodyPr/>
              <a:lstStyle/>
              <a:p>
                <a:pPr>
                  <a:defRPr/>
                </a:pPr>
                <a:r>
                  <a:rPr lang="en-US"/>
                  <a:t>Dependent Variable</a:t>
                </a:r>
              </a:p>
            </c:rich>
          </c:tx>
          <c:layout>
            <c:manualLayout>
              <c:xMode val="edge"/>
              <c:yMode val="edge"/>
              <c:x val="0.0747282608695652"/>
              <c:y val="0.015625"/>
            </c:manualLayout>
          </c:layout>
          <c:overlay val="0"/>
        </c:title>
        <c:numFmt formatCode="#,##0" sourceLinked="0"/>
        <c:majorTickMark val="out"/>
        <c:minorTickMark val="none"/>
        <c:tickLblPos val="nextTo"/>
        <c:crossAx val="2126027896"/>
        <c:crosses val="autoZero"/>
        <c:crossBetween val="midCat"/>
        <c:majorUnit val="1.0"/>
        <c:minorUnit val="0.2"/>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'Exam 3'!$D$117</c:f>
              <c:strCache>
                <c:ptCount val="1"/>
                <c:pt idx="0">
                  <c:v>1</c:v>
                </c:pt>
              </c:strCache>
            </c:strRef>
          </c:tx>
          <c:marker>
            <c:symbol val="star"/>
            <c:size val="7"/>
          </c:marker>
          <c:xVal>
            <c:numRef>
              <c:f>'Exam 3'!$D$117:$E$117</c:f>
              <c:numCache>
                <c:formatCode>#,##0</c:formatCode>
                <c:ptCount val="2"/>
                <c:pt idx="0">
                  <c:v>1.0</c:v>
                </c:pt>
                <c:pt idx="1">
                  <c:v>2.0</c:v>
                </c:pt>
              </c:numCache>
            </c:numRef>
          </c:xVal>
          <c:yVal>
            <c:numRef>
              <c:f>'Exam 3'!$D$118:$E$118</c:f>
              <c:numCache>
                <c:formatCode>#,##0.0</c:formatCode>
                <c:ptCount val="2"/>
                <c:pt idx="0">
                  <c:v>1.0</c:v>
                </c:pt>
                <c:pt idx="1">
                  <c:v>3.0</c:v>
                </c:pt>
              </c:numCache>
            </c:numRef>
          </c:yVal>
          <c:smooth val="0"/>
        </c:ser>
        <c:ser>
          <c:idx val="1"/>
          <c:order val="1"/>
          <c:tx>
            <c:strRef>
              <c:f>'Exam 3'!$E$117</c:f>
              <c:strCache>
                <c:ptCount val="1"/>
                <c:pt idx="0">
                  <c:v>2</c:v>
                </c:pt>
              </c:strCache>
            </c:strRef>
          </c:tx>
          <c:marker>
            <c:symbol val="circle"/>
            <c:size val="7"/>
            <c:spPr>
              <a:noFill/>
            </c:spPr>
          </c:marker>
          <c:xVal>
            <c:numRef>
              <c:f>'Exam 3'!$D$117:$E$117</c:f>
              <c:numCache>
                <c:formatCode>#,##0</c:formatCode>
                <c:ptCount val="2"/>
                <c:pt idx="0">
                  <c:v>1.0</c:v>
                </c:pt>
                <c:pt idx="1">
                  <c:v>2.0</c:v>
                </c:pt>
              </c:numCache>
            </c:numRef>
          </c:xVal>
          <c:yVal>
            <c:numRef>
              <c:f>'Exam 3'!$D$119:$E$119</c:f>
              <c:numCache>
                <c:formatCode>#,##0.0</c:formatCode>
                <c:ptCount val="2"/>
                <c:pt idx="0">
                  <c:v>3.0</c:v>
                </c:pt>
                <c:pt idx="1">
                  <c:v>1.0</c:v>
                </c:pt>
              </c:numCache>
            </c:numRef>
          </c:yVal>
          <c:smooth val="0"/>
        </c:ser>
        <c:dLbls>
          <c:showLegendKey val="0"/>
          <c:showVal val="0"/>
          <c:showCatName val="0"/>
          <c:showSerName val="0"/>
          <c:showPercent val="0"/>
          <c:showBubbleSize val="0"/>
        </c:dLbls>
        <c:axId val="2126988296"/>
        <c:axId val="2126995240"/>
      </c:scatterChart>
      <c:valAx>
        <c:axId val="2126988296"/>
        <c:scaling>
          <c:orientation val="minMax"/>
          <c:max val="3.0"/>
          <c:min val="0.0"/>
        </c:scaling>
        <c:delete val="0"/>
        <c:axPos val="b"/>
        <c:title>
          <c:tx>
            <c:rich>
              <a:bodyPr/>
              <a:lstStyle/>
              <a:p>
                <a:pPr>
                  <a:defRPr/>
                </a:pPr>
                <a:r>
                  <a:rPr lang="en-US"/>
                  <a:t>Factor 1</a:t>
                </a:r>
              </a:p>
            </c:rich>
          </c:tx>
          <c:overlay val="0"/>
        </c:title>
        <c:numFmt formatCode="#,##0" sourceLinked="1"/>
        <c:majorTickMark val="out"/>
        <c:minorTickMark val="none"/>
        <c:tickLblPos val="nextTo"/>
        <c:crossAx val="2126995240"/>
        <c:crossesAt val="0.0"/>
        <c:crossBetween val="midCat"/>
      </c:valAx>
      <c:valAx>
        <c:axId val="2126995240"/>
        <c:scaling>
          <c:orientation val="minMax"/>
          <c:max val="4.0"/>
          <c:min val="0.0"/>
        </c:scaling>
        <c:delete val="0"/>
        <c:axPos val="l"/>
        <c:majorGridlines>
          <c:spPr>
            <a:ln>
              <a:noFill/>
            </a:ln>
          </c:spPr>
        </c:majorGridlines>
        <c:title>
          <c:tx>
            <c:rich>
              <a:bodyPr/>
              <a:lstStyle/>
              <a:p>
                <a:pPr>
                  <a:defRPr/>
                </a:pPr>
                <a:r>
                  <a:rPr lang="en-US"/>
                  <a:t>Dependent Variable</a:t>
                </a:r>
              </a:p>
            </c:rich>
          </c:tx>
          <c:layout>
            <c:manualLayout>
              <c:xMode val="edge"/>
              <c:yMode val="edge"/>
              <c:x val="0.0747282608695652"/>
              <c:y val="0.015625"/>
            </c:manualLayout>
          </c:layout>
          <c:overlay val="0"/>
        </c:title>
        <c:numFmt formatCode="#,##0" sourceLinked="0"/>
        <c:majorTickMark val="out"/>
        <c:minorTickMark val="none"/>
        <c:tickLblPos val="nextTo"/>
        <c:crossAx val="2126988296"/>
        <c:crosses val="autoZero"/>
        <c:crossBetween val="midCat"/>
        <c:majorUnit val="1.0"/>
        <c:minorUnit val="0.2"/>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'Exam 4'!$C$82:$C$92</c:f>
              <c:numCache>
                <c:formatCode>#,##0.0</c:formatCode>
                <c:ptCount val="11"/>
                <c:pt idx="0">
                  <c:v>20.1</c:v>
                </c:pt>
                <c:pt idx="1">
                  <c:v>11.6</c:v>
                </c:pt>
                <c:pt idx="2">
                  <c:v>17.6</c:v>
                </c:pt>
                <c:pt idx="3">
                  <c:v>10.3</c:v>
                </c:pt>
                <c:pt idx="4">
                  <c:v>13.6</c:v>
                </c:pt>
                <c:pt idx="5">
                  <c:v>4.1</c:v>
                </c:pt>
                <c:pt idx="6">
                  <c:v>19.8</c:v>
                </c:pt>
                <c:pt idx="7">
                  <c:v>4.0</c:v>
                </c:pt>
                <c:pt idx="8">
                  <c:v>5.6</c:v>
                </c:pt>
                <c:pt idx="9">
                  <c:v>5.5</c:v>
                </c:pt>
                <c:pt idx="10">
                  <c:v>3.8</c:v>
                </c:pt>
              </c:numCache>
            </c:numRef>
          </c:xVal>
          <c:yVal>
            <c:numRef>
              <c:f>'Exam 4'!$D$82:$D$92</c:f>
              <c:numCache>
                <c:formatCode>#,##0</c:formatCode>
                <c:ptCount val="11"/>
                <c:pt idx="0">
                  <c:v>154.0</c:v>
                </c:pt>
                <c:pt idx="1">
                  <c:v>116.0</c:v>
                </c:pt>
                <c:pt idx="2">
                  <c:v>62.0</c:v>
                </c:pt>
                <c:pt idx="3">
                  <c:v>44.0</c:v>
                </c:pt>
                <c:pt idx="4">
                  <c:v>64.0</c:v>
                </c:pt>
                <c:pt idx="5">
                  <c:v>64.0</c:v>
                </c:pt>
                <c:pt idx="6">
                  <c:v>59.0</c:v>
                </c:pt>
                <c:pt idx="7">
                  <c:v>38.0</c:v>
                </c:pt>
                <c:pt idx="8">
                  <c:v>96.0</c:v>
                </c:pt>
                <c:pt idx="9">
                  <c:v>57.0</c:v>
                </c:pt>
                <c:pt idx="10">
                  <c:v>51.0</c:v>
                </c:pt>
              </c:numCache>
            </c:numRef>
          </c:yVal>
          <c:smooth val="0"/>
        </c:ser>
        <c:dLbls>
          <c:showLegendKey val="0"/>
          <c:showVal val="0"/>
          <c:showCatName val="0"/>
          <c:showSerName val="0"/>
          <c:showPercent val="0"/>
          <c:showBubbleSize val="0"/>
        </c:dLbls>
        <c:axId val="2126069816"/>
        <c:axId val="2126072824"/>
      </c:scatterChart>
      <c:valAx>
        <c:axId val="2126069816"/>
        <c:scaling>
          <c:orientation val="minMax"/>
        </c:scaling>
        <c:delete val="0"/>
        <c:axPos val="b"/>
        <c:numFmt formatCode="#,##0.0" sourceLinked="1"/>
        <c:majorTickMark val="out"/>
        <c:minorTickMark val="none"/>
        <c:tickLblPos val="nextTo"/>
        <c:crossAx val="2126072824"/>
        <c:crosses val="autoZero"/>
        <c:crossBetween val="midCat"/>
      </c:valAx>
      <c:valAx>
        <c:axId val="2126072824"/>
        <c:scaling>
          <c:orientation val="minMax"/>
        </c:scaling>
        <c:delete val="0"/>
        <c:axPos val="l"/>
        <c:majorGridlines/>
        <c:numFmt formatCode="#,##0" sourceLinked="1"/>
        <c:majorTickMark val="out"/>
        <c:minorTickMark val="none"/>
        <c:tickLblPos val="nextTo"/>
        <c:crossAx val="2126069816"/>
        <c:crosses val="autoZero"/>
        <c:crossBetween val="midCat"/>
      </c:valAx>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'Exam 4'!$C$82:$C$92</c:f>
              <c:numCache>
                <c:formatCode>#,##0.0</c:formatCode>
                <c:ptCount val="11"/>
                <c:pt idx="0">
                  <c:v>20.1</c:v>
                </c:pt>
                <c:pt idx="1">
                  <c:v>11.6</c:v>
                </c:pt>
                <c:pt idx="2">
                  <c:v>17.6</c:v>
                </c:pt>
                <c:pt idx="3">
                  <c:v>10.3</c:v>
                </c:pt>
                <c:pt idx="4">
                  <c:v>13.6</c:v>
                </c:pt>
                <c:pt idx="5">
                  <c:v>4.1</c:v>
                </c:pt>
                <c:pt idx="6">
                  <c:v>19.8</c:v>
                </c:pt>
                <c:pt idx="7">
                  <c:v>4.0</c:v>
                </c:pt>
                <c:pt idx="8">
                  <c:v>5.6</c:v>
                </c:pt>
                <c:pt idx="9">
                  <c:v>5.5</c:v>
                </c:pt>
                <c:pt idx="10">
                  <c:v>3.8</c:v>
                </c:pt>
              </c:numCache>
            </c:numRef>
          </c:xVal>
          <c:yVal>
            <c:numRef>
              <c:f>'Exam 4'!$G$82:$G$92</c:f>
              <c:numCache>
                <c:formatCode>#,##0.00</c:formatCode>
                <c:ptCount val="11"/>
                <c:pt idx="0">
                  <c:v>58.0386847406193</c:v>
                </c:pt>
                <c:pt idx="1">
                  <c:v>40.30398423397891</c:v>
                </c:pt>
                <c:pt idx="2">
                  <c:v>-28.00093305545141</c:v>
                </c:pt>
                <c:pt idx="3">
                  <c:v>-28.59661701997786</c:v>
                </c:pt>
                <c:pt idx="4">
                  <c:v>-16.46432152916452</c:v>
                </c:pt>
                <c:pt idx="5">
                  <c:v>6.1851308457668</c:v>
                </c:pt>
                <c:pt idx="6">
                  <c:v>-36.24606939490918</c:v>
                </c:pt>
                <c:pt idx="7">
                  <c:v>-19.57645386607603</c:v>
                </c:pt>
                <c:pt idx="8">
                  <c:v>34.60890152340922</c:v>
                </c:pt>
                <c:pt idx="9">
                  <c:v>-4.152683188433606</c:v>
                </c:pt>
                <c:pt idx="10">
                  <c:v>-6.09962328976168</c:v>
                </c:pt>
              </c:numCache>
            </c:numRef>
          </c:yVal>
          <c:smooth val="0"/>
        </c:ser>
        <c:dLbls>
          <c:showLegendKey val="0"/>
          <c:showVal val="0"/>
          <c:showCatName val="0"/>
          <c:showSerName val="0"/>
          <c:showPercent val="0"/>
          <c:showBubbleSize val="0"/>
        </c:dLbls>
        <c:axId val="2126108536"/>
        <c:axId val="2126111560"/>
      </c:scatterChart>
      <c:valAx>
        <c:axId val="2126108536"/>
        <c:scaling>
          <c:orientation val="minMax"/>
        </c:scaling>
        <c:delete val="0"/>
        <c:axPos val="b"/>
        <c:numFmt formatCode="#,##0.0" sourceLinked="1"/>
        <c:majorTickMark val="out"/>
        <c:minorTickMark val="none"/>
        <c:tickLblPos val="nextTo"/>
        <c:crossAx val="2126111560"/>
        <c:crosses val="autoZero"/>
        <c:crossBetween val="midCat"/>
      </c:valAx>
      <c:valAx>
        <c:axId val="2126111560"/>
        <c:scaling>
          <c:orientation val="minMax"/>
        </c:scaling>
        <c:delete val="0"/>
        <c:axPos val="l"/>
        <c:majorGridlines/>
        <c:numFmt formatCode="#,##0.00" sourceLinked="1"/>
        <c:majorTickMark val="out"/>
        <c:minorTickMark val="none"/>
        <c:tickLblPos val="nextTo"/>
        <c:crossAx val="2126108536"/>
        <c:crosses val="autoZero"/>
        <c:crossBetween val="midCat"/>
      </c:valAx>
    </c:plotArea>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trendline>
            <c:trendlineType val="linear"/>
            <c:dispRSqr val="0"/>
            <c:dispEq val="0"/>
          </c:trendline>
          <c:xVal>
            <c:numRef>
              <c:f>'Exam 4'!$C$82:$C$92</c:f>
              <c:numCache>
                <c:formatCode>#,##0.0</c:formatCode>
                <c:ptCount val="11"/>
                <c:pt idx="0">
                  <c:v>20.1</c:v>
                </c:pt>
                <c:pt idx="1">
                  <c:v>11.6</c:v>
                </c:pt>
                <c:pt idx="2">
                  <c:v>17.6</c:v>
                </c:pt>
                <c:pt idx="3">
                  <c:v>10.3</c:v>
                </c:pt>
                <c:pt idx="4">
                  <c:v>13.6</c:v>
                </c:pt>
                <c:pt idx="5">
                  <c:v>4.1</c:v>
                </c:pt>
                <c:pt idx="6">
                  <c:v>19.8</c:v>
                </c:pt>
                <c:pt idx="7">
                  <c:v>4.0</c:v>
                </c:pt>
                <c:pt idx="8">
                  <c:v>5.6</c:v>
                </c:pt>
                <c:pt idx="9">
                  <c:v>5.5</c:v>
                </c:pt>
                <c:pt idx="10">
                  <c:v>3.8</c:v>
                </c:pt>
              </c:numCache>
            </c:numRef>
          </c:xVal>
          <c:yVal>
            <c:numRef>
              <c:f>'Exam 4'!$F$82:$F$92</c:f>
              <c:numCache>
                <c:formatCode>#,##0.00</c:formatCode>
                <c:ptCount val="11"/>
                <c:pt idx="0">
                  <c:v>95.9613152593807</c:v>
                </c:pt>
                <c:pt idx="1">
                  <c:v>75.69601576602109</c:v>
                </c:pt>
                <c:pt idx="2">
                  <c:v>90.00093305545141</c:v>
                </c:pt>
                <c:pt idx="3">
                  <c:v>72.59661701997785</c:v>
                </c:pt>
                <c:pt idx="4">
                  <c:v>80.46432152916452</c:v>
                </c:pt>
                <c:pt idx="5">
                  <c:v>57.8148691542332</c:v>
                </c:pt>
                <c:pt idx="6">
                  <c:v>95.24606939490918</c:v>
                </c:pt>
                <c:pt idx="7">
                  <c:v>57.57645386607603</c:v>
                </c:pt>
                <c:pt idx="8">
                  <c:v>61.39109847659078</c:v>
                </c:pt>
                <c:pt idx="9">
                  <c:v>61.15268318843361</c:v>
                </c:pt>
                <c:pt idx="10">
                  <c:v>57.09962328976168</c:v>
                </c:pt>
              </c:numCache>
            </c:numRef>
          </c:yVal>
          <c:smooth val="0"/>
        </c:ser>
        <c:dLbls>
          <c:showLegendKey val="0"/>
          <c:showVal val="0"/>
          <c:showCatName val="0"/>
          <c:showSerName val="0"/>
          <c:showPercent val="0"/>
          <c:showBubbleSize val="0"/>
        </c:dLbls>
        <c:axId val="2126137896"/>
        <c:axId val="2126140920"/>
      </c:scatterChart>
      <c:valAx>
        <c:axId val="2126137896"/>
        <c:scaling>
          <c:orientation val="minMax"/>
        </c:scaling>
        <c:delete val="0"/>
        <c:axPos val="b"/>
        <c:numFmt formatCode="#,##0.0" sourceLinked="1"/>
        <c:majorTickMark val="out"/>
        <c:minorTickMark val="none"/>
        <c:tickLblPos val="nextTo"/>
        <c:crossAx val="2126140920"/>
        <c:crosses val="autoZero"/>
        <c:crossBetween val="midCat"/>
      </c:valAx>
      <c:valAx>
        <c:axId val="2126140920"/>
        <c:scaling>
          <c:orientation val="minMax"/>
        </c:scaling>
        <c:delete val="0"/>
        <c:axPos val="l"/>
        <c:majorGridlines/>
        <c:numFmt formatCode="#,##0.00" sourceLinked="1"/>
        <c:majorTickMark val="out"/>
        <c:minorTickMark val="none"/>
        <c:tickLblPos val="nextTo"/>
        <c:crossAx val="2126137896"/>
        <c:crosses val="autoZero"/>
        <c:crossBetween val="midCat"/>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4" Type="http://schemas.openxmlformats.org/officeDocument/2006/relationships/chart" Target="../charts/chart10.xml"/><Relationship Id="rId1" Type="http://schemas.openxmlformats.org/officeDocument/2006/relationships/chart" Target="../charts/chart7.xml"/><Relationship Id="rId2"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 Id="rId2"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114497</xdr:colOff>
      <xdr:row>38</xdr:row>
      <xdr:rowOff>87923</xdr:rowOff>
    </xdr:from>
    <xdr:to>
      <xdr:col>6</xdr:col>
      <xdr:colOff>664308</xdr:colOff>
      <xdr:row>54</xdr:row>
      <xdr:rowOff>142239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20320</xdr:colOff>
      <xdr:row>164</xdr:row>
      <xdr:rowOff>0</xdr:rowOff>
    </xdr:from>
    <xdr:to>
      <xdr:col>8</xdr:col>
      <xdr:colOff>0</xdr:colOff>
      <xdr:row>174</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10160</xdr:colOff>
      <xdr:row>140</xdr:row>
      <xdr:rowOff>10160</xdr:rowOff>
    </xdr:from>
    <xdr:to>
      <xdr:col>8</xdr:col>
      <xdr:colOff>9769</xdr:colOff>
      <xdr:row>150</xdr:row>
      <xdr:rowOff>111760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127</xdr:row>
      <xdr:rowOff>10160</xdr:rowOff>
    </xdr:from>
    <xdr:to>
      <xdr:col>7</xdr:col>
      <xdr:colOff>742461</xdr:colOff>
      <xdr:row>137</xdr:row>
      <xdr:rowOff>111760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152</xdr:row>
      <xdr:rowOff>0</xdr:rowOff>
    </xdr:from>
    <xdr:to>
      <xdr:col>8</xdr:col>
      <xdr:colOff>0</xdr:colOff>
      <xdr:row>162</xdr:row>
      <xdr:rowOff>101600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749300</xdr:colOff>
      <xdr:row>115</xdr:row>
      <xdr:rowOff>10160</xdr:rowOff>
    </xdr:from>
    <xdr:to>
      <xdr:col>8</xdr:col>
      <xdr:colOff>0</xdr:colOff>
      <xdr:row>125</xdr:row>
      <xdr:rowOff>111760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xdr:colOff>
      <xdr:row>88</xdr:row>
      <xdr:rowOff>203200</xdr:rowOff>
    </xdr:from>
    <xdr:to>
      <xdr:col>15</xdr:col>
      <xdr:colOff>520700</xdr:colOff>
      <xdr:row>103</xdr:row>
      <xdr:rowOff>63500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25400</xdr:colOff>
      <xdr:row>106</xdr:row>
      <xdr:rowOff>63500</xdr:rowOff>
    </xdr:from>
    <xdr:to>
      <xdr:col>15</xdr:col>
      <xdr:colOff>508000</xdr:colOff>
      <xdr:row>122</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355600</xdr:colOff>
      <xdr:row>89</xdr:row>
      <xdr:rowOff>76200</xdr:rowOff>
    </xdr:from>
    <xdr:to>
      <xdr:col>21</xdr:col>
      <xdr:colOff>812800</xdr:colOff>
      <xdr:row>103</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431800</xdr:colOff>
      <xdr:row>106</xdr:row>
      <xdr:rowOff>88900</xdr:rowOff>
    </xdr:from>
    <xdr:to>
      <xdr:col>21</xdr:col>
      <xdr:colOff>889000</xdr:colOff>
      <xdr:row>122</xdr:row>
      <xdr:rowOff>88900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900985</xdr:colOff>
      <xdr:row>172</xdr:row>
      <xdr:rowOff>21409</xdr:rowOff>
    </xdr:from>
    <xdr:to>
      <xdr:col>1</xdr:col>
      <xdr:colOff>1429305</xdr:colOff>
      <xdr:row>172</xdr:row>
      <xdr:rowOff>215644</xdr:rowOff>
    </xdr:to>
    <xdr:pic>
      <xdr:nvPicPr>
        <xdr:cNvPr id="2" name="Picture 1"/>
        <xdr:cNvPicPr>
          <a:picLocks noChangeAspect="1"/>
        </xdr:cNvPicPr>
      </xdr:nvPicPr>
      <xdr:blipFill>
        <a:blip xmlns:r="http://schemas.openxmlformats.org/officeDocument/2006/relationships" r:embed="rId1"/>
        <a:stretch>
          <a:fillRect/>
        </a:stretch>
      </xdr:blipFill>
      <xdr:spPr>
        <a:xfrm>
          <a:off x="1245699" y="13084266"/>
          <a:ext cx="528320" cy="194235"/>
        </a:xfrm>
        <a:prstGeom prst="rect">
          <a:avLst/>
        </a:prstGeom>
      </xdr:spPr>
    </xdr:pic>
    <xdr:clientData/>
  </xdr:twoCellAnchor>
  <xdr:twoCellAnchor>
    <xdr:from>
      <xdr:col>4</xdr:col>
      <xdr:colOff>3386</xdr:colOff>
      <xdr:row>20</xdr:row>
      <xdr:rowOff>111762</xdr:rowOff>
    </xdr:from>
    <xdr:to>
      <xdr:col>8</xdr:col>
      <xdr:colOff>254000</xdr:colOff>
      <xdr:row>45</xdr:row>
      <xdr:rowOff>63500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330200</xdr:colOff>
          <xdr:row>54</xdr:row>
          <xdr:rowOff>50800</xdr:rowOff>
        </xdr:from>
        <xdr:to>
          <xdr:col>5</xdr:col>
          <xdr:colOff>431800</xdr:colOff>
          <xdr:row>57</xdr:row>
          <xdr:rowOff>139700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88900</xdr:rowOff>
        </xdr:from>
        <xdr:to>
          <xdr:col>5</xdr:col>
          <xdr:colOff>457200</xdr:colOff>
          <xdr:row>71</xdr:row>
          <xdr:rowOff>38100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n.wikipedia.org/wiki/Seattle" TargetMode="External"/><Relationship Id="rId4" Type="http://schemas.openxmlformats.org/officeDocument/2006/relationships/hyperlink" Target="http://en.wikipedia.org/wiki/Boston" TargetMode="External"/><Relationship Id="rId5" Type="http://schemas.openxmlformats.org/officeDocument/2006/relationships/hyperlink" Target="http://en.wikipedia.org/wiki/Atlanta" TargetMode="External"/><Relationship Id="rId6" Type="http://schemas.openxmlformats.org/officeDocument/2006/relationships/hyperlink" Target="http://en.wikipedia.org/wiki/San_Jose,_California" TargetMode="External"/><Relationship Id="rId7" Type="http://schemas.openxmlformats.org/officeDocument/2006/relationships/drawing" Target="../drawings/drawing3.xml"/><Relationship Id="rId1" Type="http://schemas.openxmlformats.org/officeDocument/2006/relationships/hyperlink" Target="http://en.wikipedia.org/wiki/San_Francisco" TargetMode="External"/><Relationship Id="rId2" Type="http://schemas.openxmlformats.org/officeDocument/2006/relationships/hyperlink" Target="http://en.wikipedia.org/wiki/Dallas" TargetMode="External"/></Relationships>
</file>

<file path=xl/worksheets/_rels/sheet6.xml.rels><?xml version="1.0" encoding="UTF-8" standalone="yes"?>
<Relationships xmlns="http://schemas.openxmlformats.org/package/2006/relationships"><Relationship Id="rId3" Type="http://schemas.openxmlformats.org/officeDocument/2006/relationships/oleObject" Target="../embeddings/Microsoft_Equation1.bin"/><Relationship Id="rId4" Type="http://schemas.openxmlformats.org/officeDocument/2006/relationships/image" Target="../media/image2.emf"/><Relationship Id="rId5" Type="http://schemas.openxmlformats.org/officeDocument/2006/relationships/oleObject" Target="../embeddings/Microsoft_Equation2.bin"/><Relationship Id="rId6" Type="http://schemas.openxmlformats.org/officeDocument/2006/relationships/image" Target="../media/image3.emf"/><Relationship Id="rId1" Type="http://schemas.openxmlformats.org/officeDocument/2006/relationships/drawing" Target="../drawings/drawing4.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opLeftCell="A58" zoomScale="125" workbookViewId="0">
      <selection activeCell="E47" sqref="E47"/>
    </sheetView>
  </sheetViews>
  <sheetFormatPr baseColWidth="10" defaultColWidth="12.5" defaultRowHeight="14" customHeight="1" x14ac:dyDescent="0"/>
  <cols>
    <col min="1" max="1" width="4.5" style="18" customWidth="1"/>
    <col min="2" max="2" width="12.5" style="35" customWidth="1"/>
    <col min="3" max="5" width="12.6640625" style="74" customWidth="1"/>
    <col min="6" max="6" width="14.5" style="74" customWidth="1"/>
    <col min="7" max="8" width="14.33203125" style="74" customWidth="1"/>
    <col min="9" max="9" width="13" style="74" customWidth="1"/>
    <col min="10" max="12" width="10.83203125" style="74" customWidth="1"/>
    <col min="13" max="16384" width="12.5" style="74"/>
  </cols>
  <sheetData>
    <row r="1" spans="1:8" ht="12">
      <c r="A1" s="39" t="s">
        <v>3</v>
      </c>
      <c r="B1" s="91"/>
      <c r="C1" s="92" t="s">
        <v>38</v>
      </c>
      <c r="D1" s="92" t="s">
        <v>39</v>
      </c>
      <c r="F1" s="30" t="s">
        <v>68</v>
      </c>
    </row>
    <row r="2" spans="1:8" ht="12">
      <c r="B2" s="29">
        <v>1</v>
      </c>
      <c r="C2" s="122">
        <v>0.9</v>
      </c>
      <c r="D2" s="122">
        <v>0.5</v>
      </c>
      <c r="F2" s="122">
        <f>C2-D2</f>
        <v>0.4</v>
      </c>
    </row>
    <row r="3" spans="1:8" ht="12">
      <c r="B3" s="29">
        <v>2</v>
      </c>
      <c r="C3" s="122">
        <v>0.4</v>
      </c>
      <c r="D3" s="122">
        <v>0.26</v>
      </c>
      <c r="F3" s="122">
        <f t="shared" ref="F3:F9" si="0">C3-D3</f>
        <v>0.14000000000000001</v>
      </c>
    </row>
    <row r="4" spans="1:8" ht="12">
      <c r="B4" s="29">
        <v>3</v>
      </c>
      <c r="C4" s="122">
        <v>1.3</v>
      </c>
      <c r="D4" s="122">
        <v>1.18</v>
      </c>
      <c r="F4" s="122">
        <f t="shared" si="0"/>
        <v>0.12000000000000011</v>
      </c>
      <c r="H4" s="22">
        <f>RSQ(C2:C9,D2:D9)</f>
        <v>0.81115532884597819</v>
      </c>
    </row>
    <row r="5" spans="1:8" ht="12">
      <c r="B5" s="29">
        <v>4</v>
      </c>
      <c r="C5" s="122">
        <v>1.92</v>
      </c>
      <c r="D5" s="122">
        <v>1.33</v>
      </c>
      <c r="F5" s="122">
        <f t="shared" si="0"/>
        <v>0.58999999999999986</v>
      </c>
      <c r="H5" s="34">
        <f>VAR(F2:F9)</f>
        <v>5.129821428571428E-2</v>
      </c>
    </row>
    <row r="6" spans="1:8" ht="12">
      <c r="B6" s="29">
        <v>5</v>
      </c>
      <c r="C6" s="122">
        <v>0.64</v>
      </c>
      <c r="D6" s="122">
        <v>0.21</v>
      </c>
      <c r="F6" s="122">
        <f t="shared" si="0"/>
        <v>0.43000000000000005</v>
      </c>
    </row>
    <row r="7" spans="1:8" ht="12">
      <c r="B7" s="29">
        <v>6</v>
      </c>
      <c r="C7" s="122">
        <v>1.29</v>
      </c>
      <c r="D7" s="122">
        <v>1.1000000000000001</v>
      </c>
      <c r="F7" s="122">
        <f t="shared" si="0"/>
        <v>0.18999999999999995</v>
      </c>
    </row>
    <row r="8" spans="1:8" ht="13">
      <c r="A8" s="93"/>
      <c r="B8" s="29">
        <v>7</v>
      </c>
      <c r="C8" s="122">
        <v>1.5</v>
      </c>
      <c r="D8" s="122">
        <v>1.32</v>
      </c>
      <c r="F8" s="122">
        <f t="shared" si="0"/>
        <v>0.17999999999999994</v>
      </c>
    </row>
    <row r="9" spans="1:8" ht="12">
      <c r="B9" s="29">
        <v>8</v>
      </c>
      <c r="C9" s="123">
        <v>1.36</v>
      </c>
      <c r="D9" s="123">
        <v>1.5</v>
      </c>
      <c r="F9" s="123">
        <f t="shared" si="0"/>
        <v>-0.1399999999999999</v>
      </c>
    </row>
    <row r="10" spans="1:8" ht="12">
      <c r="B10" s="35" t="s">
        <v>4</v>
      </c>
      <c r="C10" s="122">
        <f>SUM(C2:C9)</f>
        <v>9.3099999999999987</v>
      </c>
      <c r="D10" s="122">
        <f>SUM(D2:D9)</f>
        <v>7.4</v>
      </c>
      <c r="F10" s="122">
        <f>SUM(F2:F9)</f>
        <v>1.91</v>
      </c>
    </row>
    <row r="11" spans="1:8" ht="12">
      <c r="B11" s="35" t="s">
        <v>5</v>
      </c>
      <c r="C11" s="24">
        <f>COUNT(C2:C9)</f>
        <v>8</v>
      </c>
      <c r="D11" s="24">
        <f>COUNT(D2:D9)</f>
        <v>8</v>
      </c>
      <c r="F11" s="24">
        <f>COUNT(F2:F9)</f>
        <v>8</v>
      </c>
    </row>
    <row r="12" spans="1:8" ht="12">
      <c r="B12" s="35" t="s">
        <v>6</v>
      </c>
      <c r="C12" s="24">
        <f>C11-1</f>
        <v>7</v>
      </c>
      <c r="D12" s="24">
        <f>D11-1</f>
        <v>7</v>
      </c>
      <c r="F12" s="24">
        <f>F11-1</f>
        <v>7</v>
      </c>
    </row>
    <row r="13" spans="1:8" ht="12">
      <c r="B13" s="35" t="s">
        <v>7</v>
      </c>
      <c r="C13" s="22">
        <f>C10/C11</f>
        <v>1.1637499999999998</v>
      </c>
      <c r="D13" s="22">
        <f>D10/D11</f>
        <v>0.92500000000000004</v>
      </c>
      <c r="E13" s="35" t="s">
        <v>69</v>
      </c>
      <c r="F13" s="22">
        <f>F10/F11</f>
        <v>0.23874999999999999</v>
      </c>
    </row>
    <row r="14" spans="1:8" ht="12">
      <c r="B14" s="35" t="s">
        <v>66</v>
      </c>
      <c r="C14" s="22">
        <f>SUMSQ(C2:C9)</f>
        <v>12.5197</v>
      </c>
      <c r="D14" s="22">
        <f>SUMSQ(D2:D9)</f>
        <v>8.7254000000000005</v>
      </c>
      <c r="E14" s="35" t="s">
        <v>66</v>
      </c>
      <c r="F14" s="22">
        <f>SUMSQ(F2:F9)</f>
        <v>0.81509999999999994</v>
      </c>
    </row>
    <row r="15" spans="1:8" ht="12">
      <c r="B15" s="35" t="s">
        <v>8</v>
      </c>
      <c r="C15" s="22">
        <f>C14-C10^2/C11</f>
        <v>1.6851875000000032</v>
      </c>
      <c r="D15" s="22">
        <f>D14-D10^2/D11</f>
        <v>1.8803999999999998</v>
      </c>
      <c r="E15" s="35" t="s">
        <v>8</v>
      </c>
      <c r="F15" s="22">
        <f>F14-F10^2/F11</f>
        <v>0.35908749999999995</v>
      </c>
    </row>
    <row r="16" spans="1:8" ht="12">
      <c r="B16" s="35" t="s">
        <v>52</v>
      </c>
      <c r="C16" s="22">
        <f>C15/C12</f>
        <v>0.24074107142857187</v>
      </c>
      <c r="D16" s="22">
        <f>D15/D12</f>
        <v>0.26862857142857138</v>
      </c>
      <c r="E16" s="35" t="s">
        <v>70</v>
      </c>
      <c r="F16" s="22">
        <f>F15/F12</f>
        <v>5.129821428571428E-2</v>
      </c>
      <c r="G16" s="22"/>
      <c r="H16" s="22"/>
    </row>
    <row r="17" spans="1:8" ht="14" customHeight="1">
      <c r="B17" s="35" t="s">
        <v>53</v>
      </c>
      <c r="C17" s="22">
        <f>SQRT(C16)</f>
        <v>0.49065371844975542</v>
      </c>
      <c r="D17" s="22">
        <f>SQRT(D16)</f>
        <v>0.51829390448718515</v>
      </c>
      <c r="E17" s="35" t="s">
        <v>71</v>
      </c>
      <c r="F17" s="22">
        <f>SQRT(F16/5)</f>
        <v>0.10128989513837428</v>
      </c>
    </row>
    <row r="18" spans="1:8" ht="14" customHeight="1">
      <c r="B18" s="10"/>
    </row>
    <row r="19" spans="1:8" ht="14" customHeight="1">
      <c r="A19" s="18" t="s">
        <v>9</v>
      </c>
      <c r="B19" s="19" t="s">
        <v>10</v>
      </c>
    </row>
    <row r="20" spans="1:8" ht="14" customHeight="1">
      <c r="B20" s="35" t="s">
        <v>54</v>
      </c>
      <c r="C20" s="19">
        <f>(C15+D15)/(C12+D12)</f>
        <v>0.25468482142857163</v>
      </c>
    </row>
    <row r="21" spans="1:8" ht="14" customHeight="1">
      <c r="B21" s="10" t="s">
        <v>11</v>
      </c>
      <c r="C21" s="23">
        <f>C12+D12</f>
        <v>14</v>
      </c>
    </row>
    <row r="22" spans="1:8" ht="14" customHeight="1">
      <c r="B22" s="35" t="s">
        <v>67</v>
      </c>
      <c r="C22" s="19">
        <f>(C20/C11+C20/D11)</f>
        <v>6.3671205357142907E-2</v>
      </c>
      <c r="D22" s="18" t="s">
        <v>0</v>
      </c>
      <c r="E22" s="95" t="s">
        <v>13</v>
      </c>
    </row>
    <row r="23" spans="1:8" ht="14" customHeight="1">
      <c r="B23" s="35" t="s">
        <v>63</v>
      </c>
      <c r="C23" s="19">
        <f>SQRT(C22)</f>
        <v>0.25233153857007828</v>
      </c>
      <c r="E23" s="10" t="s">
        <v>14</v>
      </c>
      <c r="F23" s="2">
        <v>0.8</v>
      </c>
    </row>
    <row r="24" spans="1:8" ht="14" customHeight="1" thickBot="1">
      <c r="B24" s="74"/>
    </row>
    <row r="25" spans="1:8" ht="14" customHeight="1">
      <c r="B25" s="94" t="s">
        <v>12</v>
      </c>
      <c r="C25" s="77"/>
      <c r="E25" s="75" t="s">
        <v>40</v>
      </c>
      <c r="F25" s="76"/>
      <c r="G25" s="76" t="s">
        <v>41</v>
      </c>
      <c r="H25" s="77"/>
    </row>
    <row r="26" spans="1:8" ht="14" customHeight="1">
      <c r="A26" s="93"/>
      <c r="B26" s="96" t="s">
        <v>56</v>
      </c>
      <c r="C26" s="97"/>
      <c r="E26" s="99" t="s">
        <v>57</v>
      </c>
      <c r="F26" s="19">
        <f>SQRT(C20/C11)</f>
        <v>0.17842534203013721</v>
      </c>
      <c r="G26" s="35" t="s">
        <v>58</v>
      </c>
      <c r="H26" s="100">
        <f>SQRT(C20/D11)</f>
        <v>0.17842534203013721</v>
      </c>
    </row>
    <row r="27" spans="1:8" ht="14" customHeight="1">
      <c r="B27" s="96" t="s">
        <v>55</v>
      </c>
      <c r="C27" s="97"/>
      <c r="E27" s="26" t="s">
        <v>15</v>
      </c>
      <c r="F27" s="19">
        <f>TINV(1-F23,C21)</f>
        <v>1.3450303744546506</v>
      </c>
      <c r="G27" s="10" t="s">
        <v>15</v>
      </c>
      <c r="H27" s="100">
        <f>TINV(1-F23,C21)</f>
        <v>1.3450303744546506</v>
      </c>
    </row>
    <row r="28" spans="1:8" ht="14" customHeight="1">
      <c r="B28" s="26" t="s">
        <v>42</v>
      </c>
      <c r="C28" s="98">
        <v>0.05</v>
      </c>
      <c r="E28" s="26" t="s">
        <v>17</v>
      </c>
      <c r="F28" s="19">
        <f>F26*F27</f>
        <v>0.23998750460299456</v>
      </c>
      <c r="G28" s="10" t="s">
        <v>17</v>
      </c>
      <c r="H28" s="100">
        <f>H26*H27</f>
        <v>0.23998750460299456</v>
      </c>
    </row>
    <row r="29" spans="1:8" ht="14" customHeight="1">
      <c r="B29" s="26" t="s">
        <v>47</v>
      </c>
      <c r="C29" s="100">
        <f>(C13-D13)</f>
        <v>0.2387499999999998</v>
      </c>
      <c r="E29" s="26"/>
      <c r="F29" s="21"/>
      <c r="H29" s="97"/>
    </row>
    <row r="30" spans="1:8" ht="14" customHeight="1">
      <c r="B30" s="26" t="s">
        <v>16</v>
      </c>
      <c r="C30" s="100">
        <f>(C29-0)/C23</f>
        <v>0.94617581834184161</v>
      </c>
      <c r="E30" s="102"/>
      <c r="F30" s="10" t="s">
        <v>48</v>
      </c>
      <c r="H30" s="97"/>
    </row>
    <row r="31" spans="1:8" ht="14" customHeight="1">
      <c r="B31" s="26" t="s">
        <v>18</v>
      </c>
      <c r="C31" s="100">
        <f>TINV(C28,C21)</f>
        <v>2.1447866879178044</v>
      </c>
      <c r="E31" s="102"/>
      <c r="F31" s="35" t="s">
        <v>63</v>
      </c>
      <c r="G31" s="19">
        <f>C23</f>
        <v>0.25233153857007828</v>
      </c>
      <c r="H31" s="97"/>
    </row>
    <row r="32" spans="1:8" ht="14" customHeight="1" thickBot="1">
      <c r="B32" s="36" t="s">
        <v>43</v>
      </c>
      <c r="C32" s="101"/>
      <c r="E32" s="102"/>
      <c r="F32" s="10" t="s">
        <v>15</v>
      </c>
      <c r="G32" s="19">
        <f>TINV(1-F23,C21)</f>
        <v>1.3450303744546506</v>
      </c>
      <c r="H32" s="97"/>
    </row>
    <row r="33" spans="1:8" ht="14" customHeight="1" thickBot="1">
      <c r="B33" s="24"/>
      <c r="E33" s="103"/>
      <c r="F33" s="104" t="s">
        <v>17</v>
      </c>
      <c r="G33" s="20">
        <f>G31*G32</f>
        <v>0.33939358380963047</v>
      </c>
      <c r="H33" s="101"/>
    </row>
    <row r="34" spans="1:8" ht="14" customHeight="1">
      <c r="B34" s="74"/>
    </row>
    <row r="35" spans="1:8" ht="14" customHeight="1">
      <c r="B35" s="24"/>
    </row>
    <row r="36" spans="1:8" ht="14" customHeight="1" thickBot="1">
      <c r="B36" s="24"/>
      <c r="E36" s="10"/>
      <c r="F36" s="19"/>
    </row>
    <row r="37" spans="1:8" ht="14" customHeight="1">
      <c r="A37" s="18" t="s">
        <v>1</v>
      </c>
      <c r="B37" s="105" t="s">
        <v>19</v>
      </c>
      <c r="C37" s="77"/>
      <c r="D37" s="18" t="s">
        <v>2</v>
      </c>
      <c r="E37" s="94" t="s">
        <v>13</v>
      </c>
      <c r="F37" s="77"/>
    </row>
    <row r="38" spans="1:8" ht="14" customHeight="1">
      <c r="B38" s="26" t="s">
        <v>20</v>
      </c>
      <c r="C38" s="106">
        <v>8</v>
      </c>
      <c r="D38" s="22"/>
      <c r="E38" s="26" t="s">
        <v>14</v>
      </c>
      <c r="F38" s="107">
        <v>0.8</v>
      </c>
    </row>
    <row r="39" spans="1:8" ht="14" customHeight="1">
      <c r="B39" s="26" t="s">
        <v>11</v>
      </c>
      <c r="C39" s="106">
        <f>C38-1</f>
        <v>7</v>
      </c>
      <c r="E39" s="26" t="s">
        <v>44</v>
      </c>
      <c r="F39" s="97"/>
    </row>
    <row r="40" spans="1:8" ht="14" customHeight="1">
      <c r="A40" s="17"/>
      <c r="B40" s="99" t="s">
        <v>54</v>
      </c>
      <c r="C40" s="100">
        <f>F16</f>
        <v>5.129821428571428E-2</v>
      </c>
      <c r="D40" s="22"/>
      <c r="E40" s="99" t="s">
        <v>59</v>
      </c>
      <c r="F40" s="100">
        <f>C41</f>
        <v>8.0076693149219669E-2</v>
      </c>
    </row>
    <row r="41" spans="1:8" ht="14" customHeight="1">
      <c r="B41" s="99" t="s">
        <v>72</v>
      </c>
      <c r="C41" s="100">
        <f>SQRT(C40/F11)</f>
        <v>8.0076693149219669E-2</v>
      </c>
      <c r="E41" s="26" t="s">
        <v>15</v>
      </c>
      <c r="F41" s="100">
        <f>TINV(1-F38,C39)</f>
        <v>1.4149239276505086</v>
      </c>
    </row>
    <row r="42" spans="1:8" ht="14" customHeight="1" thickBot="1">
      <c r="B42" s="102"/>
      <c r="C42" s="97"/>
      <c r="E42" s="37" t="s">
        <v>17</v>
      </c>
      <c r="F42" s="108">
        <f>F40*F41</f>
        <v>0.11330242918395847</v>
      </c>
    </row>
    <row r="43" spans="1:8" ht="14" customHeight="1">
      <c r="A43" s="17"/>
      <c r="B43" s="109" t="s">
        <v>12</v>
      </c>
      <c r="C43" s="97"/>
    </row>
    <row r="44" spans="1:8" ht="14" customHeight="1">
      <c r="B44" s="96" t="s">
        <v>60</v>
      </c>
      <c r="C44" s="97"/>
      <c r="H44" s="22"/>
    </row>
    <row r="45" spans="1:8" ht="14" customHeight="1">
      <c r="B45" s="96" t="s">
        <v>61</v>
      </c>
      <c r="C45" s="97"/>
    </row>
    <row r="46" spans="1:8" ht="14" customHeight="1">
      <c r="A46" s="17"/>
      <c r="B46" s="26" t="s">
        <v>73</v>
      </c>
      <c r="C46" s="98">
        <v>0.05</v>
      </c>
    </row>
    <row r="47" spans="1:8" ht="14" customHeight="1">
      <c r="B47" s="26" t="s">
        <v>45</v>
      </c>
      <c r="C47" s="100">
        <f>F13</f>
        <v>0.23874999999999999</v>
      </c>
      <c r="H47" s="22"/>
    </row>
    <row r="48" spans="1:8" ht="14" customHeight="1">
      <c r="B48" s="26" t="s">
        <v>16</v>
      </c>
      <c r="C48" s="100">
        <f>(C47-0)/C41</f>
        <v>2.9815167261602458</v>
      </c>
      <c r="H48" s="22"/>
    </row>
    <row r="49" spans="1:9" ht="14" customHeight="1">
      <c r="B49" s="26" t="s">
        <v>18</v>
      </c>
      <c r="C49" s="100">
        <f>TINV(C46,C39)</f>
        <v>2.3646242515927849</v>
      </c>
      <c r="D49" s="24"/>
      <c r="H49" s="22"/>
    </row>
    <row r="50" spans="1:9" ht="14" customHeight="1" thickBot="1">
      <c r="B50" s="36" t="s">
        <v>46</v>
      </c>
      <c r="C50" s="101"/>
      <c r="D50" s="24"/>
      <c r="H50" s="22"/>
    </row>
    <row r="51" spans="1:9" ht="14" customHeight="1" thickBot="1">
      <c r="B51" s="22"/>
      <c r="H51" s="22"/>
    </row>
    <row r="52" spans="1:9" ht="62" customHeight="1" thickBot="1">
      <c r="A52" s="18" t="s">
        <v>21</v>
      </c>
      <c r="B52" s="655" t="s">
        <v>74</v>
      </c>
      <c r="C52" s="656"/>
      <c r="D52" s="656"/>
      <c r="E52" s="656"/>
      <c r="F52" s="656"/>
      <c r="G52" s="656"/>
      <c r="H52" s="656"/>
      <c r="I52" s="657"/>
    </row>
    <row r="53" spans="1:9" ht="14" customHeight="1">
      <c r="B53" s="29"/>
      <c r="C53" s="22"/>
      <c r="I53" s="22"/>
    </row>
    <row r="55" spans="1:9" ht="14" customHeight="1">
      <c r="A55" s="15" t="s">
        <v>22</v>
      </c>
      <c r="B55" s="10"/>
      <c r="C55" s="31" t="s">
        <v>23</v>
      </c>
      <c r="D55" s="31" t="s">
        <v>24</v>
      </c>
      <c r="F55" s="10" t="s">
        <v>14</v>
      </c>
      <c r="G55" s="2">
        <v>0.95</v>
      </c>
    </row>
    <row r="56" spans="1:9" ht="14" customHeight="1">
      <c r="B56" s="10"/>
      <c r="C56" s="24">
        <v>89</v>
      </c>
      <c r="D56" s="24">
        <v>90</v>
      </c>
      <c r="E56" s="18" t="s">
        <v>25</v>
      </c>
      <c r="F56" s="74" t="s">
        <v>40</v>
      </c>
    </row>
    <row r="57" spans="1:9" ht="14" customHeight="1">
      <c r="B57" s="10"/>
      <c r="C57" s="24"/>
      <c r="D57" s="24">
        <v>85</v>
      </c>
      <c r="E57" s="18"/>
      <c r="F57" s="35" t="s">
        <v>57</v>
      </c>
      <c r="G57" s="19">
        <f>SQRT(D71/C62)</f>
        <v>2.5884358211090976</v>
      </c>
    </row>
    <row r="58" spans="1:9" ht="14" customHeight="1" thickBot="1">
      <c r="B58" s="10"/>
      <c r="C58" s="24"/>
      <c r="D58" s="24">
        <v>89</v>
      </c>
      <c r="F58" s="10" t="s">
        <v>15</v>
      </c>
      <c r="G58" s="19">
        <f>TINV(1-G55,D72)</f>
        <v>2.776445105197793</v>
      </c>
    </row>
    <row r="59" spans="1:9" ht="14" customHeight="1" thickBot="1">
      <c r="A59" s="93"/>
      <c r="B59" s="110"/>
      <c r="C59" s="24"/>
      <c r="D59" s="24">
        <v>90</v>
      </c>
      <c r="F59" s="27" t="s">
        <v>26</v>
      </c>
      <c r="G59" s="28">
        <f>G57*G58</f>
        <v>7.1866499656369847</v>
      </c>
    </row>
    <row r="60" spans="1:9" ht="14" customHeight="1">
      <c r="C60" s="30"/>
      <c r="D60" s="30">
        <v>92</v>
      </c>
    </row>
    <row r="61" spans="1:9" ht="14" customHeight="1">
      <c r="A61" s="18" t="s">
        <v>27</v>
      </c>
      <c r="B61" s="35" t="s">
        <v>4</v>
      </c>
      <c r="C61" s="24">
        <f>SUM(C56:C60)</f>
        <v>89</v>
      </c>
      <c r="D61" s="24">
        <f>SUM(D56:D60)</f>
        <v>446</v>
      </c>
      <c r="F61" s="10"/>
      <c r="G61" s="19"/>
    </row>
    <row r="62" spans="1:9" ht="14" customHeight="1">
      <c r="B62" s="35" t="s">
        <v>5</v>
      </c>
      <c r="C62" s="24">
        <f>COUNT(C56:C60)</f>
        <v>1</v>
      </c>
      <c r="D62" s="24">
        <f>COUNT(D56:D60)</f>
        <v>5</v>
      </c>
      <c r="E62" s="24"/>
      <c r="F62" s="10" t="s">
        <v>48</v>
      </c>
    </row>
    <row r="63" spans="1:9" ht="14" customHeight="1" thickBot="1">
      <c r="B63" s="35" t="s">
        <v>6</v>
      </c>
      <c r="C63" s="24">
        <f>C62-1</f>
        <v>0</v>
      </c>
      <c r="D63" s="24">
        <f>D62-1</f>
        <v>4</v>
      </c>
      <c r="E63" s="24"/>
      <c r="F63" s="35" t="s">
        <v>63</v>
      </c>
      <c r="G63" s="19">
        <f>D74</f>
        <v>2.835489375751719</v>
      </c>
    </row>
    <row r="64" spans="1:9" ht="14" customHeight="1">
      <c r="B64" s="111" t="s">
        <v>28</v>
      </c>
      <c r="C64" s="124">
        <f>C61/C62</f>
        <v>89</v>
      </c>
      <c r="D64" s="125">
        <f>D61/D62</f>
        <v>89.2</v>
      </c>
      <c r="E64" s="24"/>
      <c r="F64" s="10" t="s">
        <v>15</v>
      </c>
      <c r="G64" s="19">
        <f>TINV(1-G55,D72)</f>
        <v>2.776445105197793</v>
      </c>
    </row>
    <row r="65" spans="1:11" ht="16" customHeight="1" thickBot="1">
      <c r="B65" s="99" t="s">
        <v>62</v>
      </c>
      <c r="C65" s="24">
        <f>SUMSQ(C56:C60)</f>
        <v>7921</v>
      </c>
      <c r="D65" s="33">
        <f>SUMSQ(D56:D60)</f>
        <v>39810</v>
      </c>
      <c r="E65" s="24"/>
      <c r="F65" s="10"/>
      <c r="G65" s="19"/>
    </row>
    <row r="66" spans="1:11" ht="14" customHeight="1" thickBot="1">
      <c r="B66" s="99" t="s">
        <v>77</v>
      </c>
      <c r="C66" s="112">
        <f>SUMSQ(C56:C60)-C61^2/C62</f>
        <v>0</v>
      </c>
      <c r="D66" s="113">
        <f>SUMSQ(D56:D60)-D61^2/D62</f>
        <v>26.80000000000291</v>
      </c>
      <c r="E66" s="24"/>
      <c r="F66" s="27" t="s">
        <v>26</v>
      </c>
      <c r="G66" s="28">
        <f>G63*G64</f>
        <v>7.8725805981462056</v>
      </c>
    </row>
    <row r="67" spans="1:11" ht="14" customHeight="1">
      <c r="B67" s="99" t="s">
        <v>65</v>
      </c>
      <c r="C67" s="24" t="s">
        <v>29</v>
      </c>
      <c r="D67" s="113">
        <f>D66/D63</f>
        <v>6.7000000000007276</v>
      </c>
      <c r="E67" s="24"/>
      <c r="F67" s="21"/>
    </row>
    <row r="68" spans="1:11" ht="14" customHeight="1" thickBot="1">
      <c r="B68" s="114" t="s">
        <v>53</v>
      </c>
      <c r="C68" s="115" t="s">
        <v>29</v>
      </c>
      <c r="D68" s="116">
        <f>SQRT(D67/D62)</f>
        <v>1.1575836902790855</v>
      </c>
      <c r="E68" s="24"/>
      <c r="F68" s="21"/>
    </row>
    <row r="69" spans="1:11" ht="14" customHeight="1">
      <c r="C69" s="24"/>
      <c r="D69" s="22"/>
      <c r="E69" s="24"/>
      <c r="F69" s="21"/>
    </row>
    <row r="70" spans="1:11" ht="14" customHeight="1" thickBot="1">
      <c r="A70" s="18" t="s">
        <v>30</v>
      </c>
      <c r="C70" s="658" t="s">
        <v>31</v>
      </c>
      <c r="D70" s="658"/>
      <c r="E70" s="47" t="s">
        <v>32</v>
      </c>
      <c r="F70" s="74" t="s">
        <v>40</v>
      </c>
    </row>
    <row r="71" spans="1:11" ht="22" customHeight="1" thickBot="1">
      <c r="C71" s="111" t="s">
        <v>54</v>
      </c>
      <c r="D71" s="117">
        <f>(C66+D66)/(C63+D63)</f>
        <v>6.7000000000007276</v>
      </c>
      <c r="E71" s="24"/>
      <c r="F71" s="42" t="s">
        <v>57</v>
      </c>
      <c r="G71" s="40" t="s">
        <v>33</v>
      </c>
      <c r="H71" s="32"/>
      <c r="I71" s="32"/>
      <c r="J71" s="118"/>
    </row>
    <row r="72" spans="1:11" ht="14" customHeight="1" thickBot="1">
      <c r="C72" s="37" t="s">
        <v>11</v>
      </c>
      <c r="D72" s="119">
        <f>C63+D63</f>
        <v>4</v>
      </c>
      <c r="E72" s="24"/>
      <c r="F72" s="10" t="s">
        <v>15</v>
      </c>
      <c r="G72" s="19" t="s">
        <v>34</v>
      </c>
    </row>
    <row r="73" spans="1:11" ht="14" customHeight="1">
      <c r="C73" s="99" t="s">
        <v>75</v>
      </c>
      <c r="D73" s="100">
        <f>(D71/C62+D71/D62)</f>
        <v>8.0400000000008731</v>
      </c>
      <c r="E73" s="24"/>
      <c r="F73" s="10" t="s">
        <v>26</v>
      </c>
      <c r="G73" s="19" t="s">
        <v>35</v>
      </c>
    </row>
    <row r="74" spans="1:11" ht="14" customHeight="1" thickBot="1">
      <c r="C74" s="114" t="s">
        <v>76</v>
      </c>
      <c r="D74" s="108">
        <f>SQRT(D73)</f>
        <v>2.835489375751719</v>
      </c>
      <c r="E74" s="24"/>
      <c r="F74" s="10"/>
      <c r="G74" s="19"/>
    </row>
    <row r="75" spans="1:11" ht="14" customHeight="1" thickBot="1">
      <c r="C75" s="24"/>
      <c r="D75" s="24"/>
      <c r="E75" s="24"/>
      <c r="F75" s="74" t="s">
        <v>41</v>
      </c>
    </row>
    <row r="76" spans="1:11" ht="14" customHeight="1">
      <c r="A76" s="18" t="s">
        <v>21</v>
      </c>
      <c r="C76" s="120" t="s">
        <v>12</v>
      </c>
      <c r="D76" s="77"/>
      <c r="E76" s="24"/>
      <c r="F76" s="35" t="s">
        <v>57</v>
      </c>
      <c r="G76" s="19">
        <f>D68</f>
        <v>1.1575836902790855</v>
      </c>
    </row>
    <row r="77" spans="1:11" ht="14" customHeight="1" thickBot="1">
      <c r="C77" s="96" t="s">
        <v>56</v>
      </c>
      <c r="D77" s="97"/>
      <c r="E77" s="24"/>
      <c r="F77" s="10" t="s">
        <v>15</v>
      </c>
      <c r="G77" s="19">
        <f>TINV(1-G55,D63)</f>
        <v>2.776445105197793</v>
      </c>
    </row>
    <row r="78" spans="1:11" ht="14" customHeight="1" thickBot="1">
      <c r="C78" s="96" t="s">
        <v>64</v>
      </c>
      <c r="D78" s="97"/>
      <c r="E78" s="24"/>
      <c r="F78" s="27" t="s">
        <v>26</v>
      </c>
      <c r="G78" s="28">
        <f>G76*G77</f>
        <v>3.2139675707321649</v>
      </c>
    </row>
    <row r="79" spans="1:11" ht="14" customHeight="1" thickBot="1">
      <c r="C79" s="26" t="s">
        <v>73</v>
      </c>
      <c r="D79" s="98">
        <v>0.1</v>
      </c>
      <c r="E79" s="24"/>
    </row>
    <row r="80" spans="1:11" ht="14" customHeight="1" thickBot="1">
      <c r="C80" s="26" t="s">
        <v>47</v>
      </c>
      <c r="D80" s="100">
        <f>(C64-D64)</f>
        <v>-0.20000000000000284</v>
      </c>
      <c r="E80" s="24"/>
      <c r="F80" s="27" t="s">
        <v>48</v>
      </c>
      <c r="G80" s="41" t="s">
        <v>49</v>
      </c>
      <c r="H80" s="32"/>
      <c r="I80" s="32"/>
      <c r="J80" s="32"/>
      <c r="K80" s="118"/>
    </row>
    <row r="81" spans="1:9" ht="12">
      <c r="C81" s="96"/>
      <c r="D81" s="97"/>
      <c r="E81" s="24"/>
      <c r="F81" s="35"/>
      <c r="G81" s="19"/>
    </row>
    <row r="82" spans="1:9" ht="12">
      <c r="C82" s="26" t="s">
        <v>16</v>
      </c>
      <c r="D82" s="100">
        <f>(D80-0)/D74</f>
        <v>-7.0534561585856997E-2</v>
      </c>
      <c r="E82" s="24"/>
      <c r="F82" s="10"/>
      <c r="G82" s="19"/>
    </row>
    <row r="83" spans="1:9" ht="12">
      <c r="C83" s="26" t="s">
        <v>36</v>
      </c>
      <c r="D83" s="100">
        <f>TINV(2*D79,D72)</f>
        <v>1.5332062740589443</v>
      </c>
      <c r="E83" s="24"/>
      <c r="F83" s="10"/>
      <c r="G83" s="19"/>
    </row>
    <row r="84" spans="1:9" ht="13" thickBot="1">
      <c r="C84" s="36" t="s">
        <v>50</v>
      </c>
      <c r="D84" s="121"/>
      <c r="E84" s="24"/>
    </row>
    <row r="85" spans="1:9" ht="12"/>
    <row r="86" spans="1:9" ht="13" thickBot="1">
      <c r="B86" s="29"/>
      <c r="C86" s="24"/>
      <c r="I86" s="22"/>
    </row>
    <row r="87" spans="1:9" ht="40" customHeight="1" thickBot="1">
      <c r="A87" s="15" t="s">
        <v>37</v>
      </c>
      <c r="B87" s="655" t="s">
        <v>51</v>
      </c>
      <c r="C87" s="656"/>
      <c r="D87" s="656"/>
      <c r="E87" s="656"/>
      <c r="F87" s="656"/>
      <c r="G87" s="656"/>
      <c r="H87" s="657"/>
    </row>
    <row r="88" spans="1:9" ht="12">
      <c r="A88" s="17"/>
      <c r="B88" s="29"/>
      <c r="C88" s="24"/>
      <c r="I88" s="22"/>
    </row>
    <row r="89" spans="1:9" ht="12">
      <c r="B89" s="29"/>
      <c r="C89" s="24"/>
      <c r="I89" s="22"/>
    </row>
    <row r="90" spans="1:9" ht="12">
      <c r="C90" s="22"/>
      <c r="I90" s="22"/>
    </row>
    <row r="91" spans="1:9" ht="12">
      <c r="B91" s="29"/>
      <c r="C91" s="24"/>
      <c r="I91" s="22"/>
    </row>
    <row r="92" spans="1:9" ht="12">
      <c r="B92" s="29"/>
      <c r="C92" s="24"/>
      <c r="I92" s="22"/>
    </row>
    <row r="93" spans="1:9" ht="12">
      <c r="A93" s="17"/>
      <c r="B93" s="29"/>
      <c r="C93" s="24"/>
      <c r="I93" s="22"/>
    </row>
    <row r="94" spans="1:9" ht="12">
      <c r="C94" s="24"/>
      <c r="I94" s="22"/>
    </row>
    <row r="95" spans="1:9" ht="12">
      <c r="C95" s="24"/>
      <c r="I95" s="22"/>
    </row>
    <row r="96" spans="1:9" ht="12">
      <c r="C96" s="24"/>
      <c r="I96" s="22"/>
    </row>
    <row r="97" spans="3:9" s="74" customFormat="1" ht="14" customHeight="1">
      <c r="C97" s="24"/>
      <c r="I97" s="22"/>
    </row>
    <row r="98" spans="3:9" s="74" customFormat="1" ht="14" customHeight="1">
      <c r="C98" s="24"/>
      <c r="I98" s="22"/>
    </row>
    <row r="99" spans="3:9" s="74" customFormat="1" ht="14" customHeight="1">
      <c r="C99" s="24"/>
      <c r="I99" s="22"/>
    </row>
    <row r="100" spans="3:9" s="74" customFormat="1" ht="14" customHeight="1">
      <c r="C100" s="24"/>
      <c r="I100" s="22"/>
    </row>
    <row r="101" spans="3:9" s="74" customFormat="1" ht="14" customHeight="1">
      <c r="C101" s="24"/>
      <c r="I101" s="22"/>
    </row>
    <row r="102" spans="3:9" s="74" customFormat="1" ht="14" customHeight="1">
      <c r="C102" s="24"/>
      <c r="I102" s="22"/>
    </row>
    <row r="103" spans="3:9" s="74" customFormat="1" ht="14" customHeight="1"/>
  </sheetData>
  <mergeCells count="3">
    <mergeCell ref="B52:I52"/>
    <mergeCell ref="C70:D70"/>
    <mergeCell ref="B87:H8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4"/>
  <sheetViews>
    <sheetView topLeftCell="A82" zoomScale="120" zoomScaleNormal="120" zoomScalePageLayoutView="120" workbookViewId="0">
      <selection activeCell="C113" sqref="C113"/>
    </sheetView>
  </sheetViews>
  <sheetFormatPr baseColWidth="10" defaultColWidth="12.5" defaultRowHeight="13" x14ac:dyDescent="0"/>
  <cols>
    <col min="1" max="1" width="4.5" style="138" customWidth="1"/>
    <col min="2" max="2" width="15.83203125" style="131" customWidth="1"/>
    <col min="3" max="6" width="12" style="131" customWidth="1"/>
    <col min="7" max="7" width="10.83203125" style="131" customWidth="1"/>
    <col min="8" max="8" width="10.1640625" style="131" customWidth="1"/>
    <col min="9" max="10" width="7" style="131" customWidth="1"/>
    <col min="11" max="17" width="9.1640625" style="131" customWidth="1"/>
    <col min="18" max="16384" width="12.5" style="131"/>
  </cols>
  <sheetData>
    <row r="1" spans="1:17" s="127" customFormat="1" ht="14">
      <c r="A1" s="126" t="s">
        <v>78</v>
      </c>
      <c r="J1" s="128"/>
      <c r="K1" s="128"/>
    </row>
    <row r="2" spans="1:17" s="132" customFormat="1" ht="14">
      <c r="A2" s="129" t="s">
        <v>79</v>
      </c>
      <c r="B2" s="130"/>
      <c r="C2" s="130"/>
      <c r="D2" s="130"/>
      <c r="E2" s="130"/>
      <c r="F2" s="130"/>
      <c r="G2" s="130"/>
      <c r="H2" s="130"/>
      <c r="I2" s="130"/>
      <c r="J2" s="131"/>
      <c r="K2" s="131"/>
    </row>
    <row r="3" spans="1:17" ht="14">
      <c r="A3" s="133" t="s">
        <v>80</v>
      </c>
      <c r="B3" s="134"/>
      <c r="C3" s="134"/>
      <c r="D3" s="134"/>
      <c r="E3" s="134"/>
      <c r="F3" s="134"/>
      <c r="G3" s="134"/>
      <c r="H3" s="134"/>
      <c r="I3" s="134"/>
    </row>
    <row r="4" spans="1:17" ht="12">
      <c r="A4" s="131"/>
    </row>
    <row r="5" spans="1:17" ht="14">
      <c r="A5" s="135" t="s">
        <v>81</v>
      </c>
      <c r="C5" s="130"/>
      <c r="D5" s="136" t="s">
        <v>82</v>
      </c>
      <c r="E5" s="137">
        <v>1.5</v>
      </c>
      <c r="F5" s="130"/>
    </row>
    <row r="6" spans="1:17" ht="14">
      <c r="C6" s="661" t="s">
        <v>83</v>
      </c>
      <c r="D6" s="662"/>
      <c r="E6" s="662"/>
      <c r="F6" s="662"/>
    </row>
    <row r="7" spans="1:17" ht="14">
      <c r="C7" s="139">
        <v>16</v>
      </c>
      <c r="D7" s="139">
        <v>12</v>
      </c>
      <c r="E7" s="139">
        <v>10</v>
      </c>
      <c r="F7" s="139">
        <v>14</v>
      </c>
    </row>
    <row r="8" spans="1:17">
      <c r="B8" s="140"/>
      <c r="C8" s="141" t="s">
        <v>84</v>
      </c>
      <c r="D8" s="141" t="s">
        <v>85</v>
      </c>
      <c r="E8" s="141" t="s">
        <v>86</v>
      </c>
      <c r="F8" s="141" t="s">
        <v>87</v>
      </c>
      <c r="G8" s="140"/>
    </row>
    <row r="9" spans="1:17">
      <c r="B9" s="140"/>
      <c r="C9" s="142">
        <v>14</v>
      </c>
      <c r="D9" s="142">
        <v>15</v>
      </c>
      <c r="E9" s="142">
        <v>12</v>
      </c>
      <c r="F9" s="142">
        <v>16</v>
      </c>
      <c r="G9" s="143"/>
    </row>
    <row r="10" spans="1:17">
      <c r="B10" s="140"/>
      <c r="C10" s="142">
        <v>16</v>
      </c>
      <c r="D10" s="142">
        <v>13</v>
      </c>
      <c r="E10" s="142">
        <v>13</v>
      </c>
      <c r="F10" s="142">
        <v>12</v>
      </c>
      <c r="G10" s="144"/>
    </row>
    <row r="11" spans="1:17">
      <c r="B11" s="140"/>
      <c r="C11" s="142">
        <v>15</v>
      </c>
      <c r="D11" s="142">
        <v>11</v>
      </c>
      <c r="E11" s="142">
        <v>8</v>
      </c>
      <c r="F11" s="142">
        <v>14</v>
      </c>
      <c r="G11" s="145"/>
    </row>
    <row r="12" spans="1:17">
      <c r="B12" s="140"/>
      <c r="C12" s="142">
        <v>16</v>
      </c>
      <c r="D12" s="142">
        <v>13</v>
      </c>
      <c r="E12" s="142"/>
      <c r="F12" s="142">
        <v>16</v>
      </c>
      <c r="G12" s="145"/>
    </row>
    <row r="13" spans="1:17">
      <c r="B13" s="140"/>
      <c r="C13" s="142">
        <v>16</v>
      </c>
      <c r="D13" s="142">
        <v>13</v>
      </c>
      <c r="E13" s="142"/>
      <c r="F13" s="142">
        <v>14</v>
      </c>
      <c r="G13" s="145"/>
    </row>
    <row r="14" spans="1:17">
      <c r="B14" s="140"/>
      <c r="C14" s="142">
        <v>14</v>
      </c>
      <c r="D14" s="142">
        <v>11</v>
      </c>
      <c r="E14" s="142"/>
      <c r="F14" s="142">
        <v>13</v>
      </c>
      <c r="G14" s="145"/>
    </row>
    <row r="15" spans="1:17">
      <c r="B15" s="140"/>
      <c r="C15" s="142">
        <v>17</v>
      </c>
      <c r="D15" s="142">
        <v>11</v>
      </c>
      <c r="E15" s="142"/>
      <c r="F15" s="142">
        <v>12</v>
      </c>
      <c r="G15" s="145"/>
      <c r="J15" s="128"/>
      <c r="K15" s="128"/>
      <c r="L15" s="128"/>
      <c r="M15" s="128"/>
      <c r="N15" s="128"/>
      <c r="O15" s="128"/>
      <c r="P15" s="128"/>
      <c r="Q15" s="128"/>
    </row>
    <row r="16" spans="1:17" ht="17" customHeight="1">
      <c r="B16" s="140"/>
      <c r="C16" s="142"/>
      <c r="D16" s="142">
        <v>12</v>
      </c>
      <c r="E16" s="142"/>
      <c r="F16" s="142">
        <v>14</v>
      </c>
      <c r="G16" s="145"/>
      <c r="J16" s="128"/>
      <c r="K16" s="128"/>
      <c r="L16" s="128"/>
      <c r="M16" s="128"/>
      <c r="N16" s="128"/>
      <c r="O16" s="128"/>
      <c r="P16" s="128"/>
      <c r="Q16" s="128"/>
    </row>
    <row r="17" spans="1:17">
      <c r="B17" s="140"/>
      <c r="C17" s="142"/>
      <c r="D17" s="142">
        <v>16</v>
      </c>
      <c r="E17" s="142"/>
      <c r="F17" s="142">
        <v>12</v>
      </c>
      <c r="G17" s="145"/>
      <c r="J17" s="128"/>
      <c r="K17" s="128"/>
      <c r="L17" s="128"/>
      <c r="M17" s="128"/>
      <c r="N17" s="128"/>
      <c r="O17" s="128"/>
      <c r="P17" s="128"/>
      <c r="Q17" s="128"/>
    </row>
    <row r="18" spans="1:17">
      <c r="B18" s="140"/>
      <c r="C18" s="142"/>
      <c r="D18" s="142">
        <v>11</v>
      </c>
      <c r="E18" s="142"/>
      <c r="F18" s="142">
        <v>13</v>
      </c>
      <c r="G18" s="145"/>
      <c r="J18" s="128"/>
      <c r="K18" s="128"/>
      <c r="L18" s="128"/>
      <c r="M18" s="128"/>
      <c r="N18" s="128"/>
      <c r="O18" s="128"/>
      <c r="P18" s="128"/>
      <c r="Q18" s="128"/>
    </row>
    <row r="19" spans="1:17" ht="14" thickBot="1">
      <c r="B19" s="140"/>
      <c r="C19" s="142"/>
      <c r="D19" s="142"/>
      <c r="E19" s="142"/>
      <c r="F19" s="142">
        <v>14</v>
      </c>
      <c r="G19" s="145"/>
      <c r="J19" s="128"/>
      <c r="K19" s="128"/>
      <c r="L19" s="128"/>
      <c r="M19" s="128"/>
      <c r="N19" s="128"/>
      <c r="O19" s="128"/>
      <c r="P19" s="128"/>
      <c r="Q19" s="128"/>
    </row>
    <row r="20" spans="1:17" ht="17">
      <c r="B20" s="146" t="s">
        <v>88</v>
      </c>
      <c r="C20" s="147">
        <f>C21+1</f>
        <v>7.0000000000000497</v>
      </c>
      <c r="D20" s="147">
        <f>G20-(C20+E20+F20)</f>
        <v>9.9999999999999503</v>
      </c>
      <c r="E20" s="147">
        <f>E21+1</f>
        <v>3</v>
      </c>
      <c r="F20" s="148">
        <v>11</v>
      </c>
      <c r="G20" s="262">
        <v>31</v>
      </c>
      <c r="H20" s="263" t="s">
        <v>89</v>
      </c>
      <c r="J20" s="270"/>
      <c r="K20" s="268"/>
      <c r="L20" s="268"/>
      <c r="M20" s="268"/>
      <c r="N20" s="268"/>
      <c r="O20" s="271"/>
      <c r="P20" s="272"/>
      <c r="Q20" s="128"/>
    </row>
    <row r="21" spans="1:17" ht="17">
      <c r="B21" s="149" t="s">
        <v>90</v>
      </c>
      <c r="C21" s="150">
        <f>C25/C26</f>
        <v>6.0000000000000497</v>
      </c>
      <c r="D21" s="150">
        <f>D20-1</f>
        <v>8.9999999999999503</v>
      </c>
      <c r="E21" s="151">
        <v>2</v>
      </c>
      <c r="F21" s="150">
        <f>F20-1</f>
        <v>10</v>
      </c>
      <c r="G21" s="262">
        <v>27</v>
      </c>
      <c r="H21" s="264"/>
      <c r="J21" s="270"/>
      <c r="K21" s="268"/>
      <c r="L21" s="268"/>
      <c r="M21" s="268"/>
      <c r="N21" s="268"/>
      <c r="O21" s="271"/>
      <c r="P21" s="273"/>
      <c r="Q21" s="128"/>
    </row>
    <row r="22" spans="1:17" ht="17">
      <c r="B22" s="149" t="s">
        <v>91</v>
      </c>
      <c r="C22" s="150">
        <f>G22-(D22+E22+F22)</f>
        <v>108.00000000000034</v>
      </c>
      <c r="D22" s="150">
        <f>SQRT(D20*(D24-D25))</f>
        <v>125.99999999999969</v>
      </c>
      <c r="E22" s="151">
        <v>33</v>
      </c>
      <c r="F22" s="150">
        <f>F23*F20</f>
        <v>150</v>
      </c>
      <c r="G22" s="262">
        <v>417</v>
      </c>
      <c r="H22" s="263" t="s">
        <v>92</v>
      </c>
      <c r="J22" s="270"/>
      <c r="K22" s="268"/>
      <c r="L22" s="268"/>
      <c r="M22" s="268"/>
      <c r="N22" s="268"/>
      <c r="O22" s="271"/>
      <c r="P22" s="272"/>
      <c r="Q22" s="128"/>
    </row>
    <row r="23" spans="1:17" ht="17">
      <c r="B23" s="149" t="s">
        <v>93</v>
      </c>
      <c r="C23" s="152">
        <f>C22/C20</f>
        <v>15.428571428571368</v>
      </c>
      <c r="D23" s="152">
        <f>D22/D20</f>
        <v>12.600000000000032</v>
      </c>
      <c r="E23" s="152">
        <f>E22/E20</f>
        <v>11</v>
      </c>
      <c r="F23" s="153">
        <v>13.636363636363637</v>
      </c>
      <c r="G23" s="265"/>
      <c r="H23" s="266"/>
      <c r="J23" s="270"/>
      <c r="K23" s="269"/>
      <c r="L23" s="269"/>
      <c r="M23" s="269"/>
      <c r="N23" s="269"/>
      <c r="O23" s="274"/>
      <c r="P23" s="128"/>
      <c r="Q23" s="128"/>
    </row>
    <row r="24" spans="1:17" ht="17">
      <c r="B24" s="154" t="s">
        <v>94</v>
      </c>
      <c r="C24" s="150">
        <f>C25+C22^2/C20</f>
        <v>1673.9999999999989</v>
      </c>
      <c r="D24" s="151">
        <v>1616</v>
      </c>
      <c r="E24" s="150">
        <f>E25+E22^2/E20</f>
        <v>377</v>
      </c>
      <c r="F24" s="151">
        <v>2066</v>
      </c>
      <c r="G24" s="265"/>
      <c r="H24" s="266"/>
      <c r="J24" s="249"/>
      <c r="K24" s="268"/>
      <c r="L24" s="268"/>
      <c r="M24" s="268"/>
      <c r="N24" s="268"/>
      <c r="O24" s="274"/>
      <c r="P24" s="128"/>
      <c r="Q24" s="128"/>
    </row>
    <row r="25" spans="1:17" ht="17">
      <c r="B25" s="149" t="s">
        <v>95</v>
      </c>
      <c r="C25" s="152">
        <f>G25-SUM(D25:F25)</f>
        <v>7.7142857142857792</v>
      </c>
      <c r="D25" s="153">
        <v>28.400000000000091</v>
      </c>
      <c r="E25" s="153">
        <v>14</v>
      </c>
      <c r="F25" s="152">
        <f>F24-F22^2/F20</f>
        <v>20.545454545454504</v>
      </c>
      <c r="G25" s="267">
        <v>70.659740259740374</v>
      </c>
      <c r="H25" s="264" t="s">
        <v>96</v>
      </c>
      <c r="J25" s="270"/>
      <c r="K25" s="269"/>
      <c r="L25" s="269"/>
      <c r="M25" s="269"/>
      <c r="N25" s="269"/>
      <c r="O25" s="275"/>
      <c r="P25" s="273"/>
      <c r="Q25" s="128"/>
    </row>
    <row r="26" spans="1:17" ht="18" thickBot="1">
      <c r="B26" s="155" t="s">
        <v>97</v>
      </c>
      <c r="C26" s="156">
        <v>1.2857142857142858</v>
      </c>
      <c r="D26" s="156">
        <v>3.1555555555555657</v>
      </c>
      <c r="E26" s="157">
        <f>E25/E21</f>
        <v>7</v>
      </c>
      <c r="F26" s="157">
        <f>F25/F21</f>
        <v>2.0545454545454502</v>
      </c>
      <c r="G26" s="265"/>
      <c r="H26" s="266"/>
      <c r="J26" s="270"/>
      <c r="K26" s="269"/>
      <c r="L26" s="269"/>
      <c r="M26" s="269"/>
      <c r="N26" s="269"/>
      <c r="O26" s="274"/>
      <c r="P26" s="128"/>
      <c r="Q26" s="128"/>
    </row>
    <row r="27" spans="1:17">
      <c r="J27" s="128"/>
      <c r="K27" s="128"/>
      <c r="L27" s="128"/>
      <c r="M27" s="128"/>
      <c r="N27" s="128"/>
      <c r="O27" s="128"/>
      <c r="P27" s="128"/>
      <c r="Q27" s="128"/>
    </row>
    <row r="28" spans="1:17">
      <c r="J28" s="128"/>
      <c r="K28" s="275"/>
      <c r="L28" s="275"/>
      <c r="M28" s="275"/>
      <c r="N28" s="275"/>
      <c r="O28" s="275"/>
      <c r="P28" s="128"/>
      <c r="Q28" s="128"/>
    </row>
    <row r="29" spans="1:17" ht="14">
      <c r="A29" s="158" t="s">
        <v>98</v>
      </c>
      <c r="B29" s="179"/>
      <c r="C29" s="130"/>
      <c r="D29" s="136" t="s">
        <v>82</v>
      </c>
      <c r="E29" s="137">
        <v>1.5</v>
      </c>
      <c r="F29" s="130"/>
      <c r="J29" s="128"/>
      <c r="K29" s="275"/>
      <c r="L29" s="275"/>
      <c r="M29" s="275"/>
      <c r="N29" s="275"/>
      <c r="O29" s="275"/>
      <c r="P29" s="128"/>
      <c r="Q29" s="128"/>
    </row>
    <row r="30" spans="1:17" ht="14">
      <c r="A30" s="135"/>
      <c r="C30" s="661" t="s">
        <v>83</v>
      </c>
      <c r="D30" s="662"/>
      <c r="E30" s="662"/>
      <c r="F30" s="662"/>
      <c r="J30" s="128"/>
      <c r="K30" s="275"/>
      <c r="L30" s="275"/>
      <c r="M30" s="275"/>
      <c r="N30" s="275"/>
      <c r="O30" s="275"/>
      <c r="P30" s="128"/>
      <c r="Q30" s="128"/>
    </row>
    <row r="31" spans="1:17" ht="14">
      <c r="A31" s="159"/>
      <c r="B31" s="160"/>
      <c r="C31" s="139">
        <v>16</v>
      </c>
      <c r="D31" s="139">
        <v>12</v>
      </c>
      <c r="E31" s="139">
        <v>10</v>
      </c>
      <c r="F31" s="139">
        <v>14</v>
      </c>
      <c r="G31" s="160"/>
      <c r="H31" s="160"/>
      <c r="I31" s="160"/>
      <c r="J31" s="276"/>
      <c r="K31" s="275"/>
      <c r="L31" s="275"/>
      <c r="M31" s="275"/>
      <c r="N31" s="275"/>
      <c r="O31" s="275"/>
      <c r="P31" s="128"/>
      <c r="Q31" s="128"/>
    </row>
    <row r="32" spans="1:17">
      <c r="B32" s="161"/>
      <c r="C32" s="162" t="s">
        <v>99</v>
      </c>
      <c r="D32" s="162" t="s">
        <v>85</v>
      </c>
      <c r="E32" s="162" t="s">
        <v>100</v>
      </c>
      <c r="F32" s="162" t="s">
        <v>101</v>
      </c>
      <c r="G32" s="161"/>
      <c r="H32" s="160"/>
      <c r="I32" s="163"/>
      <c r="K32" s="179"/>
      <c r="L32" s="179"/>
      <c r="M32" s="179"/>
      <c r="N32" s="179"/>
      <c r="O32" s="179"/>
    </row>
    <row r="33" spans="1:15">
      <c r="A33" s="159"/>
      <c r="B33" s="161"/>
      <c r="C33" s="142">
        <v>17</v>
      </c>
      <c r="D33" s="142">
        <v>12</v>
      </c>
      <c r="E33" s="142">
        <v>9</v>
      </c>
      <c r="F33" s="142">
        <v>13</v>
      </c>
      <c r="G33" s="164"/>
      <c r="H33" s="160"/>
      <c r="I33" s="160"/>
      <c r="J33" s="160"/>
      <c r="K33" s="179"/>
      <c r="L33" s="179"/>
      <c r="M33" s="179"/>
      <c r="N33" s="179"/>
      <c r="O33" s="179"/>
    </row>
    <row r="34" spans="1:15">
      <c r="A34" s="159"/>
      <c r="B34" s="161"/>
      <c r="C34" s="142"/>
      <c r="D34" s="142">
        <v>14</v>
      </c>
      <c r="E34" s="142">
        <v>8</v>
      </c>
      <c r="F34" s="142">
        <v>14</v>
      </c>
      <c r="G34" s="164"/>
      <c r="H34" s="160"/>
      <c r="I34" s="160"/>
      <c r="J34" s="160"/>
      <c r="K34" s="179"/>
      <c r="L34" s="179"/>
      <c r="M34" s="179"/>
      <c r="N34" s="179"/>
      <c r="O34" s="179"/>
    </row>
    <row r="35" spans="1:15">
      <c r="A35" s="159"/>
      <c r="B35" s="161"/>
      <c r="C35" s="142"/>
      <c r="D35" s="142">
        <v>13</v>
      </c>
      <c r="E35" s="142">
        <v>11</v>
      </c>
      <c r="F35" s="142">
        <v>14</v>
      </c>
      <c r="G35" s="164"/>
      <c r="H35" s="160"/>
      <c r="I35" s="160"/>
      <c r="J35" s="160"/>
      <c r="K35" s="160"/>
      <c r="L35" s="160"/>
      <c r="M35" s="160"/>
    </row>
    <row r="36" spans="1:15">
      <c r="A36" s="159"/>
      <c r="B36" s="161"/>
      <c r="C36" s="142"/>
      <c r="D36" s="142">
        <v>12</v>
      </c>
      <c r="E36" s="142">
        <v>12</v>
      </c>
      <c r="F36" s="142">
        <v>15</v>
      </c>
      <c r="G36" s="164"/>
      <c r="H36" s="160"/>
      <c r="I36" s="160"/>
      <c r="J36" s="160"/>
      <c r="K36" s="160"/>
      <c r="L36" s="160"/>
      <c r="M36" s="160"/>
    </row>
    <row r="37" spans="1:15">
      <c r="A37" s="159"/>
      <c r="B37" s="161"/>
      <c r="C37" s="142"/>
      <c r="D37" s="142">
        <v>11</v>
      </c>
      <c r="E37" s="142">
        <v>11</v>
      </c>
      <c r="F37" s="142">
        <v>14</v>
      </c>
      <c r="G37" s="164"/>
      <c r="H37" s="160"/>
      <c r="I37" s="160"/>
      <c r="J37" s="160"/>
      <c r="K37" s="160"/>
      <c r="L37" s="160"/>
      <c r="M37" s="160"/>
    </row>
    <row r="38" spans="1:15">
      <c r="A38" s="159"/>
      <c r="B38" s="161"/>
      <c r="C38" s="142"/>
      <c r="D38" s="142">
        <v>13</v>
      </c>
      <c r="E38" s="142"/>
      <c r="F38" s="142">
        <v>14</v>
      </c>
      <c r="G38" s="164"/>
      <c r="H38" s="160"/>
      <c r="I38" s="160"/>
      <c r="J38" s="160"/>
      <c r="K38" s="160"/>
      <c r="L38" s="160"/>
      <c r="M38" s="160"/>
    </row>
    <row r="39" spans="1:15">
      <c r="A39" s="159"/>
      <c r="B39" s="161"/>
      <c r="C39" s="142"/>
      <c r="D39" s="142">
        <v>11</v>
      </c>
      <c r="E39" s="142"/>
      <c r="F39" s="142"/>
      <c r="G39" s="164"/>
      <c r="H39" s="160"/>
      <c r="I39" s="160"/>
      <c r="J39" s="160"/>
      <c r="K39" s="160"/>
      <c r="L39" s="160"/>
      <c r="M39" s="160"/>
    </row>
    <row r="40" spans="1:15">
      <c r="A40" s="159"/>
      <c r="B40" s="161"/>
      <c r="C40" s="142"/>
      <c r="D40" s="142">
        <v>12</v>
      </c>
      <c r="E40" s="142"/>
      <c r="F40" s="142"/>
      <c r="G40" s="164"/>
      <c r="H40" s="160"/>
      <c r="I40" s="160"/>
      <c r="J40" s="160"/>
      <c r="K40" s="160"/>
      <c r="L40" s="160"/>
      <c r="M40" s="160"/>
    </row>
    <row r="41" spans="1:15">
      <c r="A41" s="159"/>
      <c r="B41" s="161"/>
      <c r="C41" s="142"/>
      <c r="D41" s="142">
        <v>11</v>
      </c>
      <c r="E41" s="142"/>
      <c r="F41" s="142"/>
      <c r="G41" s="164"/>
      <c r="H41" s="160"/>
      <c r="I41" s="160"/>
      <c r="J41" s="160"/>
      <c r="K41" s="160"/>
      <c r="L41" s="160"/>
      <c r="M41" s="160"/>
    </row>
    <row r="42" spans="1:15">
      <c r="A42" s="159"/>
      <c r="B42" s="161"/>
      <c r="C42" s="142"/>
      <c r="D42" s="142">
        <v>12</v>
      </c>
      <c r="E42" s="142"/>
      <c r="F42" s="142"/>
      <c r="G42" s="164"/>
      <c r="H42" s="160"/>
      <c r="I42" s="160"/>
      <c r="J42" s="160"/>
      <c r="K42" s="160"/>
      <c r="L42" s="160"/>
      <c r="M42" s="160"/>
    </row>
    <row r="43" spans="1:15">
      <c r="A43" s="159"/>
      <c r="B43" s="161"/>
      <c r="C43" s="165"/>
      <c r="D43" s="165">
        <v>12</v>
      </c>
      <c r="E43" s="165"/>
      <c r="F43" s="165"/>
      <c r="G43" s="164"/>
      <c r="H43" s="160"/>
      <c r="I43" s="160"/>
      <c r="J43" s="160"/>
      <c r="K43" s="160"/>
      <c r="L43" s="160"/>
      <c r="M43" s="160"/>
    </row>
    <row r="44" spans="1:15" ht="17">
      <c r="A44" s="159"/>
      <c r="B44" s="166" t="s">
        <v>88</v>
      </c>
      <c r="C44" s="167">
        <f>COUNT(C33:C43)</f>
        <v>1</v>
      </c>
      <c r="D44" s="167">
        <f>COUNT(D33:D43)</f>
        <v>11</v>
      </c>
      <c r="E44" s="167">
        <f>COUNT(E33:E43)</f>
        <v>5</v>
      </c>
      <c r="F44" s="167">
        <f>COUNT(F33:F43)</f>
        <v>6</v>
      </c>
      <c r="G44" s="168">
        <f>SUM(C44:F44)</f>
        <v>23</v>
      </c>
      <c r="H44" s="169" t="s">
        <v>102</v>
      </c>
      <c r="I44" s="160"/>
      <c r="J44" s="160"/>
      <c r="K44" s="160"/>
      <c r="L44" s="160"/>
      <c r="M44" s="160"/>
    </row>
    <row r="45" spans="1:15" ht="17">
      <c r="A45" s="159"/>
      <c r="B45" s="166" t="s">
        <v>90</v>
      </c>
      <c r="C45" s="167">
        <f>C44-1</f>
        <v>0</v>
      </c>
      <c r="D45" s="167">
        <f>D44-1</f>
        <v>10</v>
      </c>
      <c r="E45" s="167">
        <f>E44-1</f>
        <v>4</v>
      </c>
      <c r="F45" s="167">
        <f>F44-1</f>
        <v>5</v>
      </c>
      <c r="G45" s="170">
        <f>SUM(C45:F45)</f>
        <v>19</v>
      </c>
      <c r="H45" s="171" t="s">
        <v>103</v>
      </c>
      <c r="I45" s="160"/>
      <c r="J45" s="160"/>
      <c r="K45" s="160"/>
      <c r="L45" s="160"/>
      <c r="M45" s="160"/>
    </row>
    <row r="46" spans="1:15" ht="17">
      <c r="A46" s="159"/>
      <c r="B46" s="166" t="s">
        <v>91</v>
      </c>
      <c r="C46" s="167">
        <f>SUM(C33:C43)</f>
        <v>17</v>
      </c>
      <c r="D46" s="167">
        <f>SUM(D33:D43)</f>
        <v>133</v>
      </c>
      <c r="E46" s="167">
        <f>SUM(E33:E43)</f>
        <v>51</v>
      </c>
      <c r="F46" s="167">
        <f>SUM(F33:F43)</f>
        <v>84</v>
      </c>
      <c r="G46" s="168">
        <f>SUM(C46:F46)</f>
        <v>285</v>
      </c>
      <c r="H46" s="169" t="s">
        <v>104</v>
      </c>
      <c r="I46" s="160"/>
      <c r="J46" s="160"/>
      <c r="K46" s="160"/>
      <c r="L46" s="160"/>
      <c r="M46" s="160"/>
    </row>
    <row r="47" spans="1:15" ht="17">
      <c r="A47" s="159"/>
      <c r="B47" s="166" t="s">
        <v>93</v>
      </c>
      <c r="C47" s="172">
        <f>C46/C44</f>
        <v>17</v>
      </c>
      <c r="D47" s="172">
        <f>D46/D44</f>
        <v>12.090909090909092</v>
      </c>
      <c r="E47" s="172">
        <f>E46/E44</f>
        <v>10.199999999999999</v>
      </c>
      <c r="F47" s="172">
        <f>F46/F44</f>
        <v>14</v>
      </c>
      <c r="G47" s="164"/>
      <c r="H47" s="160"/>
      <c r="I47" s="160"/>
      <c r="J47" s="160"/>
      <c r="K47" s="160"/>
      <c r="L47" s="160"/>
      <c r="M47" s="160"/>
    </row>
    <row r="48" spans="1:15" ht="17">
      <c r="A48" s="159"/>
      <c r="B48" s="173" t="s">
        <v>94</v>
      </c>
      <c r="C48" s="167">
        <f>SUMSQ(C33:C43)</f>
        <v>289</v>
      </c>
      <c r="D48" s="167">
        <f>SUMSQ(D33:D43)</f>
        <v>1617</v>
      </c>
      <c r="E48" s="167">
        <f>SUMSQ(E33:E43)</f>
        <v>531</v>
      </c>
      <c r="F48" s="167">
        <f>SUMSQ(F33:F43)</f>
        <v>1178</v>
      </c>
      <c r="G48" s="164"/>
      <c r="H48" s="160"/>
      <c r="I48" s="160"/>
      <c r="J48" s="160"/>
      <c r="K48" s="160"/>
      <c r="L48" s="160"/>
      <c r="M48" s="160"/>
    </row>
    <row r="49" spans="1:13" ht="17">
      <c r="A49" s="159"/>
      <c r="B49" s="166" t="s">
        <v>105</v>
      </c>
      <c r="C49" s="172">
        <f>C46^2/C44</f>
        <v>289</v>
      </c>
      <c r="D49" s="172">
        <f>D46^2/D44</f>
        <v>1608.090909090909</v>
      </c>
      <c r="E49" s="172">
        <f>E46^2/E44</f>
        <v>520.20000000000005</v>
      </c>
      <c r="F49" s="172">
        <f>F46^2/F44</f>
        <v>1176</v>
      </c>
      <c r="G49" s="174">
        <f>SUM(C49:F49)</f>
        <v>3593.2909090909088</v>
      </c>
      <c r="H49" s="175" t="s">
        <v>106</v>
      </c>
      <c r="I49" s="160"/>
      <c r="J49" s="160"/>
      <c r="K49" s="160"/>
      <c r="L49" s="160"/>
      <c r="M49" s="160"/>
    </row>
    <row r="50" spans="1:13" ht="17">
      <c r="A50" s="159"/>
      <c r="B50" s="166" t="s">
        <v>95</v>
      </c>
      <c r="C50" s="172">
        <f>C48-C49</f>
        <v>0</v>
      </c>
      <c r="D50" s="172">
        <f>D48-D49</f>
        <v>8.9090909090909918</v>
      </c>
      <c r="E50" s="172">
        <f>E48-E49</f>
        <v>10.799999999999955</v>
      </c>
      <c r="F50" s="172">
        <f>F48-F49</f>
        <v>2</v>
      </c>
      <c r="G50" s="174">
        <f>SUM(C50:F50)</f>
        <v>21.709090909090946</v>
      </c>
      <c r="H50" s="171" t="s">
        <v>107</v>
      </c>
      <c r="I50" s="160"/>
      <c r="J50" s="160"/>
      <c r="K50" s="160"/>
      <c r="L50" s="160"/>
      <c r="M50" s="160"/>
    </row>
    <row r="51" spans="1:13" ht="18" thickBot="1">
      <c r="A51" s="159"/>
      <c r="B51" s="166" t="s">
        <v>97</v>
      </c>
      <c r="C51" s="172" t="s">
        <v>108</v>
      </c>
      <c r="D51" s="172">
        <f>D50/D45</f>
        <v>0.8909090909090992</v>
      </c>
      <c r="E51" s="172">
        <f>E50/E45</f>
        <v>2.6999999999999886</v>
      </c>
      <c r="F51" s="172">
        <f>F50/F45</f>
        <v>0.4</v>
      </c>
      <c r="G51" s="164"/>
      <c r="H51" s="160"/>
      <c r="I51" s="160"/>
      <c r="J51" s="160"/>
      <c r="K51" s="160"/>
      <c r="L51" s="160"/>
      <c r="M51" s="160"/>
    </row>
    <row r="52" spans="1:13" ht="18" thickBot="1">
      <c r="A52" s="159"/>
      <c r="B52" s="176" t="s">
        <v>109</v>
      </c>
      <c r="C52" s="177">
        <f>C45/$G$45</f>
        <v>0</v>
      </c>
      <c r="D52" s="177">
        <f>D45/$G$45</f>
        <v>0.52631578947368418</v>
      </c>
      <c r="E52" s="177">
        <f>E45/$G$45</f>
        <v>0.21052631578947367</v>
      </c>
      <c r="F52" s="178">
        <f>F45/$G$45</f>
        <v>0.26315789473684209</v>
      </c>
      <c r="G52" s="179">
        <f>SUM(C52:F52)</f>
        <v>1</v>
      </c>
      <c r="H52" s="169" t="s">
        <v>110</v>
      </c>
      <c r="I52" s="160"/>
      <c r="J52" s="160"/>
      <c r="K52" s="160"/>
      <c r="L52" s="160"/>
      <c r="M52" s="160"/>
    </row>
    <row r="53" spans="1:13" ht="14" thickBot="1">
      <c r="A53" s="159"/>
      <c r="B53" s="180"/>
      <c r="C53" s="181"/>
      <c r="D53" s="181"/>
      <c r="E53" s="181"/>
      <c r="F53" s="181"/>
      <c r="G53" s="179"/>
      <c r="H53" s="169"/>
      <c r="I53" s="160"/>
      <c r="J53" s="160"/>
      <c r="K53" s="160"/>
      <c r="L53" s="160"/>
      <c r="M53" s="160"/>
    </row>
    <row r="54" spans="1:13">
      <c r="A54" s="138" t="s">
        <v>111</v>
      </c>
      <c r="B54" s="182" t="s">
        <v>112</v>
      </c>
      <c r="C54" s="183">
        <f>SUM(C48:F48)-G49</f>
        <v>21.709090909091174</v>
      </c>
      <c r="D54" s="184"/>
      <c r="E54" s="185"/>
      <c r="F54" s="186"/>
      <c r="G54" s="186"/>
      <c r="H54" s="186"/>
      <c r="I54" s="186"/>
      <c r="J54" s="187"/>
      <c r="M54" s="188"/>
    </row>
    <row r="55" spans="1:13">
      <c r="B55" s="189" t="s">
        <v>113</v>
      </c>
      <c r="C55" s="190">
        <f>G44-4</f>
        <v>19</v>
      </c>
      <c r="D55" s="184"/>
      <c r="E55" s="185"/>
      <c r="F55" s="186"/>
      <c r="G55" s="186"/>
      <c r="H55" s="186"/>
      <c r="I55" s="186"/>
      <c r="J55" s="187"/>
    </row>
    <row r="56" spans="1:13" ht="14" thickBot="1">
      <c r="B56" s="191" t="s">
        <v>114</v>
      </c>
      <c r="C56" s="192">
        <f>C54/C55</f>
        <v>1.1425837320574301</v>
      </c>
      <c r="D56" s="184"/>
      <c r="E56" s="185"/>
      <c r="F56" s="186"/>
      <c r="G56" s="186"/>
      <c r="H56" s="186"/>
      <c r="I56" s="186"/>
      <c r="J56" s="187"/>
    </row>
    <row r="57" spans="1:13" ht="14" thickBot="1">
      <c r="B57" s="193"/>
      <c r="D57" s="194"/>
      <c r="E57" s="195"/>
    </row>
    <row r="58" spans="1:13">
      <c r="B58" s="182" t="s">
        <v>112</v>
      </c>
      <c r="C58" s="183">
        <f>SUM(C50:F50)</f>
        <v>21.709090909090946</v>
      </c>
      <c r="D58" s="196"/>
      <c r="E58" s="663" t="s">
        <v>115</v>
      </c>
      <c r="F58" s="663"/>
      <c r="G58" s="663"/>
      <c r="H58" s="663"/>
      <c r="I58" s="663"/>
      <c r="J58" s="663"/>
      <c r="K58" s="663"/>
    </row>
    <row r="59" spans="1:13">
      <c r="B59" s="189" t="s">
        <v>116</v>
      </c>
      <c r="C59" s="190">
        <f>SUM(C45:F45)</f>
        <v>19</v>
      </c>
      <c r="D59" s="194"/>
      <c r="E59" s="195"/>
    </row>
    <row r="60" spans="1:13" ht="14" thickBot="1">
      <c r="B60" s="191" t="s">
        <v>117</v>
      </c>
      <c r="C60" s="192">
        <f>C58/C59</f>
        <v>1.1425837320574181</v>
      </c>
      <c r="D60" s="184"/>
      <c r="E60" s="185"/>
      <c r="F60" s="186"/>
      <c r="G60" s="186"/>
      <c r="H60" s="186"/>
      <c r="I60" s="186"/>
      <c r="J60" s="187"/>
    </row>
    <row r="61" spans="1:13" ht="14" thickBot="1">
      <c r="B61" s="193"/>
      <c r="C61" s="193"/>
      <c r="D61" s="184"/>
      <c r="E61" s="185"/>
      <c r="F61" s="186"/>
      <c r="G61" s="186"/>
      <c r="H61" s="186"/>
      <c r="I61" s="186"/>
      <c r="J61" s="187"/>
    </row>
    <row r="62" spans="1:13" ht="14" thickBot="1">
      <c r="B62" s="197" t="s">
        <v>118</v>
      </c>
      <c r="C62" s="198">
        <f>SUMPRODUCT(D51:F51,D52:F52)</f>
        <v>1.1425837320574179</v>
      </c>
      <c r="D62" s="194"/>
      <c r="E62" s="195"/>
    </row>
    <row r="63" spans="1:13">
      <c r="A63" s="159"/>
      <c r="B63" s="160"/>
      <c r="C63" s="160"/>
      <c r="D63" s="160"/>
      <c r="L63" s="160"/>
      <c r="M63" s="160"/>
    </row>
    <row r="64" spans="1:13" ht="17">
      <c r="A64" s="159" t="s">
        <v>119</v>
      </c>
      <c r="B64" s="199" t="s">
        <v>120</v>
      </c>
      <c r="C64" s="200"/>
      <c r="D64" s="200"/>
      <c r="E64" s="200"/>
      <c r="F64" s="200"/>
    </row>
    <row r="65" spans="1:13">
      <c r="B65" s="180" t="s">
        <v>121</v>
      </c>
      <c r="C65" s="181">
        <f>TINV(0.05,$G$45)</f>
        <v>2.0930240544083096</v>
      </c>
      <c r="D65" s="181">
        <f>TINV(0.05,$G$45)</f>
        <v>2.0930240544083096</v>
      </c>
      <c r="E65" s="181">
        <f>TINV(0.05,$G$45)</f>
        <v>2.0930240544083096</v>
      </c>
      <c r="F65" s="181">
        <f>TINV(0.05,$G$45)</f>
        <v>2.0930240544083096</v>
      </c>
      <c r="G65" s="179"/>
      <c r="H65" s="169"/>
      <c r="I65" s="160"/>
      <c r="J65" s="160"/>
      <c r="K65" s="160"/>
      <c r="L65" s="160"/>
      <c r="M65" s="160"/>
    </row>
    <row r="66" spans="1:13" ht="18" thickBot="1">
      <c r="A66" s="159"/>
      <c r="B66" s="180" t="s">
        <v>122</v>
      </c>
      <c r="C66" s="181">
        <f>SQRT($C$60/C44)</f>
        <v>1.0689170838083832</v>
      </c>
      <c r="D66" s="181">
        <f>SQRT($C$60/D44)</f>
        <v>0.32229062718120766</v>
      </c>
      <c r="E66" s="181">
        <f>SQRT($C$60/E44)</f>
        <v>0.47803425234127694</v>
      </c>
      <c r="F66" s="181">
        <f>SQRT($C$60/F44)</f>
        <v>0.43638357211239026</v>
      </c>
      <c r="G66" s="179"/>
      <c r="H66" s="169"/>
      <c r="I66" s="160"/>
      <c r="J66" s="160"/>
      <c r="K66" s="160"/>
      <c r="L66" s="160"/>
      <c r="M66" s="160"/>
    </row>
    <row r="67" spans="1:13" ht="18" thickBot="1">
      <c r="A67" s="159"/>
      <c r="B67" s="270" t="s">
        <v>164</v>
      </c>
      <c r="C67" s="277">
        <f>C65*C66</f>
        <v>2.237269168578929</v>
      </c>
      <c r="D67" s="278">
        <f>D65*D66</f>
        <v>0.6745620352006082</v>
      </c>
      <c r="E67" s="177">
        <f>E65*E66</f>
        <v>1.0005371889813846</v>
      </c>
      <c r="F67" s="278">
        <f>F65*F66</f>
        <v>0.91336131337985604</v>
      </c>
      <c r="G67" s="164"/>
      <c r="H67" s="160"/>
      <c r="I67" s="160"/>
      <c r="J67" s="160"/>
      <c r="K67" s="160"/>
      <c r="L67" s="160"/>
      <c r="M67" s="160"/>
    </row>
    <row r="68" spans="1:13">
      <c r="A68" s="159"/>
      <c r="B68" s="180"/>
      <c r="C68" s="181"/>
      <c r="D68" s="181"/>
      <c r="E68" s="181"/>
      <c r="F68" s="181"/>
      <c r="G68" s="164"/>
      <c r="H68" s="160"/>
      <c r="I68" s="160"/>
      <c r="J68" s="160"/>
      <c r="K68" s="160"/>
      <c r="L68" s="160"/>
      <c r="M68" s="160"/>
    </row>
    <row r="69" spans="1:13" ht="17">
      <c r="A69" s="159"/>
      <c r="B69" s="199" t="s">
        <v>123</v>
      </c>
      <c r="C69" s="201"/>
      <c r="D69" s="201"/>
      <c r="E69" s="201"/>
      <c r="F69" s="201"/>
      <c r="G69" s="164"/>
      <c r="H69" s="160"/>
      <c r="I69" s="160"/>
      <c r="J69" s="160"/>
      <c r="K69" s="160"/>
      <c r="L69" s="160"/>
      <c r="M69" s="160"/>
    </row>
    <row r="70" spans="1:13">
      <c r="A70" s="159"/>
      <c r="B70" s="180" t="s">
        <v>121</v>
      </c>
      <c r="C70" s="181" t="s">
        <v>124</v>
      </c>
      <c r="D70" s="181">
        <f>TINV(0.05,D45)</f>
        <v>2.2281388519862744</v>
      </c>
      <c r="E70" s="181">
        <f>TINV(0.05,E45)</f>
        <v>2.7764451051977934</v>
      </c>
      <c r="F70" s="181">
        <f>TINV(0.05,F45)</f>
        <v>2.570581835636315</v>
      </c>
      <c r="G70" s="164"/>
      <c r="H70" s="160"/>
      <c r="I70" s="160"/>
      <c r="J70" s="160"/>
      <c r="K70" s="160"/>
      <c r="L70" s="160"/>
      <c r="M70" s="160"/>
    </row>
    <row r="71" spans="1:13" ht="18" thickBot="1">
      <c r="A71" s="159"/>
      <c r="B71" s="180" t="s">
        <v>122</v>
      </c>
      <c r="C71" s="181" t="s">
        <v>125</v>
      </c>
      <c r="D71" s="181">
        <f>SQRT(D51/D44)</f>
        <v>0.28459046986361092</v>
      </c>
      <c r="E71" s="181">
        <f>SQRT(E51/E44)</f>
        <v>0.7348469228349519</v>
      </c>
      <c r="F71" s="181">
        <f>SQRT(F51/F44)</f>
        <v>0.2581988897471611</v>
      </c>
      <c r="G71" s="164"/>
      <c r="H71" s="160"/>
      <c r="I71" s="160"/>
      <c r="J71" s="160"/>
      <c r="K71" s="160"/>
      <c r="L71" s="160"/>
      <c r="M71" s="160"/>
    </row>
    <row r="72" spans="1:13" ht="18" thickBot="1">
      <c r="A72" s="159"/>
      <c r="B72" s="270" t="s">
        <v>164</v>
      </c>
      <c r="C72" s="277" t="s">
        <v>108</v>
      </c>
      <c r="D72" s="278">
        <f>D70*D71</f>
        <v>0.63410708280814043</v>
      </c>
      <c r="E72" s="177">
        <f>E70*E71</f>
        <v>2.0402621419747629</v>
      </c>
      <c r="F72" s="278">
        <f>F70*F71</f>
        <v>0.66372137596551595</v>
      </c>
      <c r="G72" s="202"/>
      <c r="H72" s="203"/>
      <c r="I72" s="203"/>
      <c r="J72" s="204"/>
      <c r="K72" s="160"/>
      <c r="L72" s="160"/>
      <c r="M72" s="160"/>
    </row>
    <row r="73" spans="1:13" ht="14" thickBot="1">
      <c r="A73" s="159"/>
      <c r="B73" s="205" t="s">
        <v>126</v>
      </c>
      <c r="C73" s="206"/>
      <c r="D73" s="206"/>
      <c r="E73" s="206"/>
      <c r="F73" s="206"/>
      <c r="G73" s="207"/>
      <c r="H73" s="208"/>
      <c r="I73" s="208"/>
      <c r="J73" s="209"/>
      <c r="K73" s="160"/>
      <c r="L73" s="160"/>
      <c r="M73" s="160"/>
    </row>
    <row r="74" spans="1:13" ht="14" thickBot="1">
      <c r="A74" s="159"/>
      <c r="B74" s="180"/>
      <c r="C74" s="181"/>
      <c r="D74" s="181"/>
      <c r="E74" s="181"/>
      <c r="F74" s="181"/>
      <c r="G74" s="164"/>
      <c r="H74" s="160"/>
      <c r="I74" s="160"/>
      <c r="J74" s="160"/>
      <c r="K74" s="160"/>
      <c r="L74" s="160"/>
      <c r="M74" s="160"/>
    </row>
    <row r="75" spans="1:13">
      <c r="A75" s="159" t="s">
        <v>127</v>
      </c>
      <c r="B75" s="210" t="s">
        <v>128</v>
      </c>
      <c r="C75" s="203"/>
      <c r="D75" s="211"/>
      <c r="E75" s="211"/>
      <c r="F75" s="212"/>
      <c r="G75" s="203"/>
      <c r="H75" s="204"/>
      <c r="I75" s="160"/>
      <c r="J75" s="160"/>
      <c r="K75" s="160"/>
      <c r="L75" s="160"/>
      <c r="M75" s="160"/>
    </row>
    <row r="76" spans="1:13">
      <c r="A76" s="159"/>
      <c r="B76" s="213" t="s">
        <v>129</v>
      </c>
      <c r="C76" s="214" t="s">
        <v>130</v>
      </c>
      <c r="D76" s="215" t="s">
        <v>131</v>
      </c>
      <c r="E76" s="215" t="s">
        <v>132</v>
      </c>
      <c r="F76" s="215" t="s">
        <v>133</v>
      </c>
      <c r="G76" s="214" t="s">
        <v>134</v>
      </c>
      <c r="H76" s="216" t="s">
        <v>135</v>
      </c>
      <c r="I76" s="160"/>
      <c r="J76" s="160"/>
      <c r="K76" s="160"/>
      <c r="L76" s="160"/>
      <c r="M76" s="160"/>
    </row>
    <row r="77" spans="1:13" s="221" customFormat="1">
      <c r="A77" s="217"/>
      <c r="B77" s="218" t="s">
        <v>136</v>
      </c>
      <c r="C77" s="219">
        <v>3</v>
      </c>
      <c r="D77" s="186">
        <f>G49-G46^2/G44</f>
        <v>61.769169960473846</v>
      </c>
      <c r="E77" s="186">
        <f>D77/C77</f>
        <v>20.589723320157947</v>
      </c>
      <c r="F77" s="664">
        <f>E77/E78</f>
        <v>18.020318986235171</v>
      </c>
      <c r="G77" s="664">
        <f>FINV(0.05,C77,C78)</f>
        <v>3.1273500051133998</v>
      </c>
      <c r="H77" s="666" t="s">
        <v>137</v>
      </c>
      <c r="I77" s="220"/>
      <c r="J77" s="220"/>
      <c r="K77" s="220"/>
      <c r="L77" s="220"/>
      <c r="M77" s="220"/>
    </row>
    <row r="78" spans="1:13" s="221" customFormat="1">
      <c r="A78" s="217"/>
      <c r="B78" s="218" t="s">
        <v>138</v>
      </c>
      <c r="C78" s="219">
        <f>G45</f>
        <v>19</v>
      </c>
      <c r="D78" s="186">
        <f>SUMSQ(C33:F43)-SUM(C49:F49)</f>
        <v>21.709090909091174</v>
      </c>
      <c r="E78" s="186">
        <f>D78/C78</f>
        <v>1.1425837320574301</v>
      </c>
      <c r="F78" s="665"/>
      <c r="G78" s="665"/>
      <c r="H78" s="666"/>
      <c r="I78" s="220"/>
      <c r="J78" s="220"/>
      <c r="K78" s="220"/>
      <c r="L78" s="220"/>
      <c r="M78" s="220"/>
    </row>
    <row r="79" spans="1:13" s="229" customFormat="1" ht="14" thickBot="1">
      <c r="A79" s="222"/>
      <c r="B79" s="223" t="s">
        <v>139</v>
      </c>
      <c r="C79" s="224">
        <f>C77+C78</f>
        <v>22</v>
      </c>
      <c r="D79" s="225">
        <f>D77+D78</f>
        <v>83.47826086956502</v>
      </c>
      <c r="E79" s="226"/>
      <c r="F79" s="226"/>
      <c r="G79" s="226"/>
      <c r="H79" s="227"/>
      <c r="I79" s="228"/>
      <c r="J79" s="228"/>
      <c r="K79" s="228"/>
      <c r="L79" s="228"/>
      <c r="M79" s="228"/>
    </row>
    <row r="80" spans="1:13" ht="14" thickBot="1"/>
    <row r="81" spans="1:10" ht="15">
      <c r="A81" s="138" t="s">
        <v>140</v>
      </c>
      <c r="B81" s="230" t="s">
        <v>141</v>
      </c>
      <c r="C81" s="231">
        <f>E51</f>
        <v>2.6999999999999886</v>
      </c>
      <c r="D81" s="232" t="s">
        <v>142</v>
      </c>
      <c r="E81" s="233">
        <f>E45</f>
        <v>4</v>
      </c>
      <c r="J81" s="234"/>
    </row>
    <row r="82" spans="1:10" ht="15">
      <c r="B82" s="235" t="s">
        <v>143</v>
      </c>
      <c r="C82" s="187">
        <f>(D50+F50)/(D45+F45)</f>
        <v>0.72727272727273273</v>
      </c>
      <c r="D82" s="193" t="s">
        <v>142</v>
      </c>
      <c r="E82" s="236">
        <f>D45+F45</f>
        <v>15</v>
      </c>
    </row>
    <row r="83" spans="1:10">
      <c r="B83" s="235" t="s">
        <v>144</v>
      </c>
      <c r="C83" s="187">
        <f>C81/C82</f>
        <v>3.7124999999999564</v>
      </c>
      <c r="E83" s="237"/>
    </row>
    <row r="84" spans="1:10">
      <c r="B84" s="235" t="s">
        <v>145</v>
      </c>
      <c r="C84" s="187">
        <f>FINV(0.025,E81,E82)</f>
        <v>3.8042713418410128</v>
      </c>
      <c r="E84" s="237"/>
    </row>
    <row r="85" spans="1:10" ht="14" thickBot="1">
      <c r="B85" s="659" t="s">
        <v>146</v>
      </c>
      <c r="C85" s="660"/>
      <c r="D85" s="238"/>
      <c r="E85" s="239"/>
    </row>
    <row r="86" spans="1:10" ht="14" thickBot="1">
      <c r="B86" s="193"/>
      <c r="C86" s="187"/>
    </row>
    <row r="87" spans="1:10" ht="15">
      <c r="A87" s="240" t="s">
        <v>147</v>
      </c>
      <c r="B87" s="230" t="s">
        <v>141</v>
      </c>
      <c r="C87" s="231">
        <f>E51</f>
        <v>2.6999999999999886</v>
      </c>
      <c r="D87" s="232" t="s">
        <v>142</v>
      </c>
      <c r="E87" s="233">
        <f>E45</f>
        <v>4</v>
      </c>
    </row>
    <row r="88" spans="1:10" ht="15">
      <c r="B88" s="241" t="s">
        <v>148</v>
      </c>
      <c r="C88" s="187">
        <f>1^2</f>
        <v>1</v>
      </c>
      <c r="D88" s="193" t="s">
        <v>142</v>
      </c>
      <c r="E88" s="242" t="s">
        <v>149</v>
      </c>
    </row>
    <row r="89" spans="1:10">
      <c r="B89" s="235" t="s">
        <v>150</v>
      </c>
      <c r="C89" s="187">
        <f>C87/C88</f>
        <v>2.6999999999999886</v>
      </c>
      <c r="E89" s="237"/>
    </row>
    <row r="90" spans="1:10">
      <c r="B90" s="235" t="s">
        <v>151</v>
      </c>
      <c r="C90" s="187">
        <f>FINV(0.01,E87,1000000)</f>
        <v>3.3191947487381501</v>
      </c>
      <c r="D90" s="243"/>
      <c r="E90" s="244"/>
      <c r="F90" s="243"/>
      <c r="G90" s="243"/>
      <c r="H90" s="243"/>
      <c r="I90" s="243"/>
    </row>
    <row r="91" spans="1:10" ht="14" thickBot="1">
      <c r="B91" s="659" t="s">
        <v>146</v>
      </c>
      <c r="C91" s="660"/>
      <c r="D91" s="245"/>
      <c r="E91" s="246"/>
      <c r="F91" s="219"/>
      <c r="G91" s="219"/>
      <c r="H91" s="219"/>
      <c r="I91" s="219"/>
    </row>
    <row r="92" spans="1:10">
      <c r="C92" s="193"/>
      <c r="D92" s="186"/>
      <c r="E92" s="186"/>
      <c r="F92" s="186"/>
      <c r="G92" s="186"/>
      <c r="H92" s="186"/>
      <c r="I92" s="186"/>
      <c r="J92" s="187"/>
    </row>
    <row r="93" spans="1:10">
      <c r="B93" s="193"/>
      <c r="C93" s="193"/>
      <c r="D93" s="186"/>
      <c r="E93" s="186"/>
      <c r="F93" s="186"/>
      <c r="G93" s="186"/>
      <c r="H93" s="186"/>
      <c r="I93" s="186"/>
      <c r="J93" s="187"/>
    </row>
    <row r="94" spans="1:10" ht="14">
      <c r="A94" s="135" t="s">
        <v>152</v>
      </c>
      <c r="B94" s="247" t="s">
        <v>153</v>
      </c>
    </row>
    <row r="95" spans="1:10" ht="14">
      <c r="B95" s="193" t="s">
        <v>154</v>
      </c>
      <c r="C95" s="248">
        <v>7</v>
      </c>
      <c r="D95" s="249"/>
      <c r="E95" s="229"/>
    </row>
    <row r="96" spans="1:10" ht="14">
      <c r="B96" s="193" t="s">
        <v>155</v>
      </c>
      <c r="C96" s="248">
        <v>25</v>
      </c>
      <c r="D96" s="249"/>
      <c r="E96" s="229"/>
    </row>
    <row r="97" spans="1:5">
      <c r="A97" s="131"/>
      <c r="B97" s="193" t="s">
        <v>113</v>
      </c>
      <c r="C97" s="248">
        <f>C95*(C96-1)</f>
        <v>168</v>
      </c>
      <c r="D97" s="249"/>
      <c r="E97" s="229"/>
    </row>
    <row r="98" spans="1:5">
      <c r="A98" s="131"/>
      <c r="B98" s="193" t="s">
        <v>156</v>
      </c>
      <c r="C98" s="187">
        <v>1.5</v>
      </c>
      <c r="D98" s="249"/>
      <c r="E98" s="187"/>
    </row>
    <row r="99" spans="1:5">
      <c r="A99" s="131"/>
      <c r="B99" s="193" t="s">
        <v>157</v>
      </c>
      <c r="C99" s="187">
        <f>TINV(0.1,C97)</f>
        <v>1.6539742082435718</v>
      </c>
      <c r="D99" s="249"/>
      <c r="E99" s="229"/>
    </row>
    <row r="100" spans="1:5" ht="14" thickBot="1">
      <c r="A100" s="131"/>
      <c r="B100" s="193" t="s">
        <v>158</v>
      </c>
      <c r="C100" s="187">
        <f>C98/C99</f>
        <v>0.90690652400977656</v>
      </c>
      <c r="D100" s="249"/>
      <c r="E100" s="229"/>
    </row>
    <row r="101" spans="1:5" ht="14" thickBot="1">
      <c r="A101" s="131"/>
      <c r="B101" s="250" t="s">
        <v>159</v>
      </c>
      <c r="C101" s="251">
        <f>C100^2*C96</f>
        <v>20.561986082287387</v>
      </c>
      <c r="D101" s="249"/>
      <c r="E101" s="229"/>
    </row>
    <row r="102" spans="1:5">
      <c r="A102" s="131"/>
      <c r="B102" s="193"/>
      <c r="C102" s="229"/>
      <c r="D102" s="249"/>
      <c r="E102" s="229"/>
    </row>
    <row r="103" spans="1:5">
      <c r="A103" s="131"/>
      <c r="B103" s="247" t="s">
        <v>160</v>
      </c>
      <c r="D103" s="249"/>
      <c r="E103" s="229"/>
    </row>
    <row r="104" spans="1:5">
      <c r="A104" s="131"/>
      <c r="B104" s="193" t="s">
        <v>154</v>
      </c>
      <c r="C104" s="248">
        <v>7</v>
      </c>
      <c r="D104" s="249"/>
      <c r="E104" s="229"/>
    </row>
    <row r="105" spans="1:5">
      <c r="A105" s="131"/>
      <c r="B105" s="193" t="s">
        <v>155</v>
      </c>
      <c r="C105" s="248">
        <v>5</v>
      </c>
      <c r="D105" s="249"/>
      <c r="E105" s="229"/>
    </row>
    <row r="106" spans="1:5">
      <c r="A106" s="131"/>
      <c r="B106" s="193" t="s">
        <v>113</v>
      </c>
      <c r="C106" s="248">
        <f>C104*(C105-1)</f>
        <v>28</v>
      </c>
      <c r="D106" s="249"/>
      <c r="E106" s="229"/>
    </row>
    <row r="107" spans="1:5">
      <c r="A107" s="131"/>
      <c r="B107" s="193" t="s">
        <v>161</v>
      </c>
      <c r="C107" s="187">
        <f>C101</f>
        <v>20.561986082287387</v>
      </c>
      <c r="D107" s="249"/>
      <c r="E107" s="229"/>
    </row>
    <row r="108" spans="1:5">
      <c r="A108" s="131"/>
      <c r="B108" s="193" t="s">
        <v>162</v>
      </c>
      <c r="C108" s="187">
        <f>SQRT(C107/C105)</f>
        <v>2.0279046369239055</v>
      </c>
      <c r="D108" s="249"/>
      <c r="E108" s="229"/>
    </row>
    <row r="109" spans="1:5" ht="14" thickBot="1">
      <c r="A109" s="131"/>
      <c r="B109" s="193" t="s">
        <v>163</v>
      </c>
      <c r="C109" s="187">
        <f>TINV(0.1,C106)</f>
        <v>1.7011309342659326</v>
      </c>
      <c r="D109" s="249"/>
      <c r="E109" s="229"/>
    </row>
    <row r="110" spans="1:5" ht="14" thickBot="1">
      <c r="A110" s="131"/>
      <c r="B110" s="197" t="s">
        <v>156</v>
      </c>
      <c r="C110" s="252">
        <f>C108*C109</f>
        <v>3.4497313096125803</v>
      </c>
      <c r="D110" s="253"/>
      <c r="E110" s="229"/>
    </row>
    <row r="111" spans="1:5">
      <c r="A111" s="131"/>
      <c r="B111" s="193"/>
      <c r="C111" s="229"/>
      <c r="D111" s="249"/>
      <c r="E111" s="229"/>
    </row>
    <row r="112" spans="1:5">
      <c r="A112" s="131"/>
      <c r="C112" s="179"/>
      <c r="D112" s="249"/>
      <c r="E112" s="229"/>
    </row>
    <row r="113" spans="1:10">
      <c r="B113" s="193"/>
      <c r="C113" s="193"/>
      <c r="D113" s="186"/>
      <c r="E113" s="186"/>
      <c r="F113" s="186"/>
      <c r="G113" s="186"/>
      <c r="H113" s="186"/>
      <c r="I113" s="186"/>
      <c r="J113" s="187"/>
    </row>
    <row r="114" spans="1:10">
      <c r="B114" s="193"/>
      <c r="C114" s="193"/>
      <c r="D114" s="186"/>
      <c r="E114" s="186"/>
      <c r="F114" s="186"/>
      <c r="G114" s="186"/>
      <c r="H114" s="186"/>
      <c r="I114" s="186"/>
      <c r="J114" s="187"/>
    </row>
    <row r="115" spans="1:10">
      <c r="B115" s="193"/>
      <c r="D115" s="186"/>
      <c r="E115" s="186"/>
      <c r="F115" s="186"/>
      <c r="G115" s="186"/>
      <c r="H115" s="186"/>
      <c r="I115" s="186"/>
      <c r="J115" s="187"/>
    </row>
    <row r="118" spans="1:10">
      <c r="A118" s="135"/>
      <c r="B118" s="193"/>
    </row>
    <row r="119" spans="1:10">
      <c r="A119" s="135"/>
      <c r="B119" s="193"/>
      <c r="C119" s="187"/>
      <c r="D119" s="187"/>
    </row>
    <row r="120" spans="1:10">
      <c r="A120" s="135"/>
      <c r="B120" s="193"/>
      <c r="C120" s="187"/>
      <c r="D120" s="187"/>
    </row>
    <row r="121" spans="1:10">
      <c r="A121" s="135"/>
    </row>
    <row r="124" spans="1:10">
      <c r="B124" s="254"/>
      <c r="C124" s="243"/>
      <c r="D124" s="243"/>
      <c r="E124" s="193"/>
      <c r="F124" s="248"/>
    </row>
    <row r="125" spans="1:10">
      <c r="B125" s="255"/>
      <c r="C125" s="186"/>
      <c r="D125" s="219"/>
    </row>
    <row r="126" spans="1:10">
      <c r="B126" s="255"/>
      <c r="C126" s="186"/>
      <c r="D126" s="219"/>
    </row>
    <row r="127" spans="1:10">
      <c r="B127" s="255"/>
      <c r="C127" s="186"/>
      <c r="D127" s="219"/>
    </row>
    <row r="128" spans="1:10">
      <c r="B128" s="255"/>
      <c r="C128" s="186"/>
      <c r="D128" s="219"/>
    </row>
    <row r="129" spans="1:7">
      <c r="A129" s="256"/>
    </row>
    <row r="130" spans="1:7">
      <c r="C130" s="229"/>
    </row>
    <row r="131" spans="1:7">
      <c r="A131" s="135"/>
      <c r="B131" s="221"/>
      <c r="C131" s="221"/>
      <c r="D131" s="221"/>
      <c r="E131" s="221"/>
      <c r="F131" s="221"/>
      <c r="G131" s="221"/>
    </row>
    <row r="132" spans="1:7">
      <c r="B132" s="254"/>
      <c r="C132" s="254"/>
      <c r="E132" s="254"/>
      <c r="F132" s="254"/>
    </row>
    <row r="133" spans="1:7">
      <c r="B133" s="254"/>
      <c r="C133" s="243"/>
      <c r="D133" s="257"/>
      <c r="E133" s="254"/>
      <c r="F133" s="243"/>
    </row>
    <row r="134" spans="1:7">
      <c r="A134" s="256"/>
      <c r="B134" s="258"/>
      <c r="C134" s="259"/>
      <c r="D134" s="259"/>
      <c r="E134" s="258"/>
      <c r="F134" s="259"/>
    </row>
    <row r="135" spans="1:7">
      <c r="B135" s="258"/>
      <c r="C135" s="259"/>
      <c r="D135" s="259"/>
      <c r="E135" s="258"/>
      <c r="F135" s="259"/>
    </row>
    <row r="136" spans="1:7">
      <c r="B136" s="258"/>
      <c r="C136" s="259"/>
      <c r="D136" s="259"/>
      <c r="E136" s="258"/>
      <c r="F136" s="259"/>
    </row>
    <row r="137" spans="1:7">
      <c r="A137" s="256"/>
      <c r="B137" s="258"/>
      <c r="C137" s="259"/>
      <c r="D137" s="259"/>
      <c r="E137" s="258"/>
      <c r="F137" s="259"/>
    </row>
    <row r="138" spans="1:7">
      <c r="B138" s="260"/>
      <c r="C138" s="259"/>
      <c r="D138" s="260"/>
      <c r="E138" s="260"/>
      <c r="F138" s="259"/>
    </row>
    <row r="140" spans="1:7">
      <c r="B140" s="221"/>
      <c r="C140" s="221"/>
      <c r="D140" s="221"/>
      <c r="E140" s="221"/>
      <c r="F140" s="221"/>
      <c r="G140" s="221"/>
    </row>
    <row r="141" spans="1:7">
      <c r="B141" s="254"/>
      <c r="C141" s="254"/>
      <c r="E141" s="254"/>
      <c r="F141" s="254"/>
    </row>
    <row r="142" spans="1:7">
      <c r="B142" s="254"/>
      <c r="C142" s="243"/>
      <c r="D142" s="257"/>
      <c r="E142" s="254"/>
      <c r="F142" s="243"/>
    </row>
    <row r="143" spans="1:7">
      <c r="B143" s="258"/>
      <c r="C143" s="261"/>
      <c r="D143" s="259"/>
      <c r="E143" s="258"/>
      <c r="F143" s="261"/>
    </row>
    <row r="144" spans="1:7">
      <c r="B144" s="258"/>
      <c r="C144" s="261"/>
      <c r="D144" s="259"/>
      <c r="E144" s="258"/>
      <c r="F144" s="261"/>
    </row>
    <row r="145" spans="1:6">
      <c r="B145" s="258"/>
      <c r="C145" s="261"/>
      <c r="D145" s="259"/>
      <c r="E145" s="258"/>
      <c r="F145" s="261"/>
    </row>
    <row r="146" spans="1:6">
      <c r="B146" s="258"/>
      <c r="C146" s="261"/>
      <c r="D146" s="259"/>
      <c r="E146" s="258"/>
      <c r="F146" s="261"/>
    </row>
    <row r="147" spans="1:6">
      <c r="B147" s="260"/>
      <c r="C147" s="261"/>
      <c r="D147" s="260"/>
      <c r="E147" s="260"/>
      <c r="F147" s="261"/>
    </row>
    <row r="148" spans="1:6">
      <c r="A148" s="256"/>
    </row>
    <row r="149" spans="1:6" ht="12">
      <c r="A149" s="131"/>
    </row>
    <row r="150" spans="1:6" ht="12">
      <c r="A150" s="131"/>
    </row>
    <row r="151" spans="1:6" ht="12">
      <c r="A151" s="131"/>
    </row>
    <row r="152" spans="1:6" ht="12">
      <c r="A152" s="131"/>
    </row>
    <row r="153" spans="1:6" ht="12">
      <c r="A153" s="131"/>
    </row>
    <row r="154" spans="1:6" ht="12">
      <c r="A154" s="131"/>
    </row>
    <row r="155" spans="1:6" ht="12">
      <c r="A155" s="131"/>
    </row>
    <row r="156" spans="1:6" ht="12">
      <c r="A156" s="131"/>
    </row>
    <row r="157" spans="1:6" ht="12">
      <c r="A157" s="131"/>
    </row>
    <row r="158" spans="1:6" ht="12">
      <c r="A158" s="131"/>
    </row>
    <row r="159" spans="1:6" ht="12">
      <c r="A159" s="131"/>
    </row>
    <row r="160" spans="1:6" ht="12">
      <c r="A160" s="131"/>
    </row>
    <row r="161" spans="1:1" ht="12">
      <c r="A161" s="131"/>
    </row>
    <row r="162" spans="1:1" ht="12">
      <c r="A162" s="131"/>
    </row>
    <row r="163" spans="1:1" ht="12">
      <c r="A163" s="131"/>
    </row>
    <row r="164" spans="1:1" ht="12">
      <c r="A164" s="131"/>
    </row>
  </sheetData>
  <mergeCells count="8">
    <mergeCell ref="B85:C85"/>
    <mergeCell ref="B91:C91"/>
    <mergeCell ref="C6:F6"/>
    <mergeCell ref="C30:F30"/>
    <mergeCell ref="E58:K58"/>
    <mergeCell ref="F77:F78"/>
    <mergeCell ref="G77:G78"/>
    <mergeCell ref="H77:H78"/>
  </mergeCells>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topLeftCell="A135" zoomScale="130" zoomScaleNormal="130" zoomScalePageLayoutView="130" workbookViewId="0">
      <selection activeCell="J54" sqref="J54"/>
    </sheetView>
  </sheetViews>
  <sheetFormatPr baseColWidth="10" defaultColWidth="12.5" defaultRowHeight="12" x14ac:dyDescent="0"/>
  <cols>
    <col min="1" max="1" width="4.5" style="18" customWidth="1"/>
    <col min="2" max="2" width="18.33203125" style="81" customWidth="1"/>
    <col min="3" max="7" width="9.83203125" style="81" customWidth="1"/>
    <col min="8" max="8" width="10.83203125" style="81" customWidth="1"/>
    <col min="9" max="9" width="8" style="81" customWidth="1"/>
    <col min="10" max="13" width="10.6640625" style="81" customWidth="1"/>
    <col min="14" max="14" width="10.83203125" style="81" customWidth="1"/>
    <col min="15" max="16384" width="12.5" style="81"/>
  </cols>
  <sheetData>
    <row r="1" spans="1:9" s="281" customFormat="1">
      <c r="A1" s="280" t="s">
        <v>243</v>
      </c>
      <c r="C1" s="282"/>
      <c r="D1" s="670" t="s">
        <v>242</v>
      </c>
      <c r="E1" s="670"/>
      <c r="F1" s="670"/>
      <c r="G1" s="670"/>
      <c r="H1" s="283"/>
    </row>
    <row r="2" spans="1:9" s="281" customFormat="1">
      <c r="A2" s="284"/>
      <c r="C2" s="285" t="s">
        <v>165</v>
      </c>
      <c r="D2" s="286" t="s">
        <v>166</v>
      </c>
      <c r="E2" s="286" t="s">
        <v>167</v>
      </c>
      <c r="F2" s="286" t="s">
        <v>168</v>
      </c>
      <c r="G2" s="286" t="s">
        <v>169</v>
      </c>
      <c r="H2" s="287"/>
    </row>
    <row r="3" spans="1:9" s="281" customFormat="1">
      <c r="A3" s="284"/>
      <c r="B3" s="288"/>
      <c r="C3" s="289" t="s">
        <v>170</v>
      </c>
      <c r="D3" s="290">
        <f t="shared" ref="D3:G5" si="0">D24*($D$29-1)+D10^2/$D$29</f>
        <v>1140.3</v>
      </c>
      <c r="E3" s="290">
        <f t="shared" si="0"/>
        <v>6889.7</v>
      </c>
      <c r="F3" s="290">
        <f t="shared" si="0"/>
        <v>6523</v>
      </c>
      <c r="G3" s="290">
        <f t="shared" si="0"/>
        <v>7035</v>
      </c>
      <c r="H3" s="291">
        <f>SUM(D3:G3)</f>
        <v>21588</v>
      </c>
    </row>
    <row r="4" spans="1:9" s="281" customFormat="1">
      <c r="A4" s="284"/>
      <c r="B4" s="288"/>
      <c r="C4" s="289" t="s">
        <v>241</v>
      </c>
      <c r="D4" s="290">
        <f t="shared" si="0"/>
        <v>1087.8</v>
      </c>
      <c r="E4" s="290">
        <f t="shared" si="0"/>
        <v>3267.1</v>
      </c>
      <c r="F4" s="290">
        <f t="shared" si="0"/>
        <v>3464.9</v>
      </c>
      <c r="G4" s="290">
        <f t="shared" si="0"/>
        <v>3624.1</v>
      </c>
      <c r="H4" s="291">
        <f>SUM(D4:G4)</f>
        <v>11443.9</v>
      </c>
    </row>
    <row r="5" spans="1:9" s="281" customFormat="1">
      <c r="A5" s="284"/>
      <c r="B5" s="288"/>
      <c r="C5" s="292" t="s">
        <v>171</v>
      </c>
      <c r="D5" s="293">
        <f t="shared" si="0"/>
        <v>1087.8</v>
      </c>
      <c r="E5" s="293">
        <f t="shared" si="0"/>
        <v>2472.2000000000003</v>
      </c>
      <c r="F5" s="293">
        <f t="shared" si="0"/>
        <v>2564.2999999999997</v>
      </c>
      <c r="G5" s="293">
        <f t="shared" si="0"/>
        <v>2700.7000000000003</v>
      </c>
      <c r="H5" s="294">
        <f>SUM(D5:G5)</f>
        <v>8825</v>
      </c>
    </row>
    <row r="6" spans="1:9" s="281" customFormat="1">
      <c r="A6" s="284"/>
      <c r="B6" s="288"/>
      <c r="C6" s="289"/>
      <c r="D6" s="290">
        <f>SUM(D3:D5)</f>
        <v>3315.8999999999996</v>
      </c>
      <c r="E6" s="290">
        <f>SUM(E3:E5)</f>
        <v>12629</v>
      </c>
      <c r="F6" s="290">
        <f>SUM(F3:F5)</f>
        <v>12552.199999999999</v>
      </c>
      <c r="G6" s="290">
        <f>SUM(G3:G5)</f>
        <v>13359.800000000001</v>
      </c>
      <c r="H6" s="291">
        <f>SUM(D3:G5)</f>
        <v>41856.9</v>
      </c>
    </row>
    <row r="7" spans="1:9" s="281" customFormat="1">
      <c r="A7" s="284"/>
      <c r="D7" s="282"/>
      <c r="E7" s="282"/>
      <c r="F7" s="282"/>
      <c r="G7" s="282"/>
    </row>
    <row r="8" spans="1:9" s="281" customFormat="1">
      <c r="A8" s="284"/>
      <c r="C8" s="282"/>
      <c r="D8" s="670" t="s">
        <v>242</v>
      </c>
      <c r="E8" s="670"/>
      <c r="F8" s="670"/>
      <c r="G8" s="670"/>
      <c r="H8" s="283"/>
    </row>
    <row r="9" spans="1:9" s="281" customFormat="1">
      <c r="A9" s="284"/>
      <c r="C9" s="295" t="s">
        <v>172</v>
      </c>
      <c r="D9" s="286" t="s">
        <v>166</v>
      </c>
      <c r="E9" s="286" t="s">
        <v>167</v>
      </c>
      <c r="F9" s="286" t="s">
        <v>168</v>
      </c>
      <c r="G9" s="286" t="s">
        <v>169</v>
      </c>
      <c r="H9" s="287" t="s">
        <v>173</v>
      </c>
      <c r="I9" s="283"/>
    </row>
    <row r="10" spans="1:9" s="281" customFormat="1">
      <c r="A10" s="284"/>
      <c r="B10" s="288"/>
      <c r="C10" s="289" t="s">
        <v>170</v>
      </c>
      <c r="D10" s="296">
        <f t="shared" ref="D10:G12" si="1">D17*$D$29</f>
        <v>138</v>
      </c>
      <c r="E10" s="296">
        <f t="shared" si="1"/>
        <v>366</v>
      </c>
      <c r="F10" s="296">
        <f t="shared" si="1"/>
        <v>356</v>
      </c>
      <c r="G10" s="296">
        <f t="shared" si="1"/>
        <v>370</v>
      </c>
      <c r="H10" s="297">
        <f>SUM(D10:G10)</f>
        <v>1230</v>
      </c>
    </row>
    <row r="11" spans="1:9" s="281" customFormat="1">
      <c r="A11" s="284"/>
      <c r="B11" s="288"/>
      <c r="C11" s="289" t="s">
        <v>241</v>
      </c>
      <c r="D11" s="296">
        <f t="shared" si="1"/>
        <v>134</v>
      </c>
      <c r="E11" s="296">
        <f t="shared" si="1"/>
        <v>248</v>
      </c>
      <c r="F11" s="296">
        <f t="shared" si="1"/>
        <v>256</v>
      </c>
      <c r="G11" s="296">
        <f t="shared" si="1"/>
        <v>262</v>
      </c>
      <c r="H11" s="297">
        <f>SUM(D11:G11)</f>
        <v>900</v>
      </c>
    </row>
    <row r="12" spans="1:9" s="281" customFormat="1">
      <c r="A12" s="284"/>
      <c r="B12" s="288"/>
      <c r="C12" s="292" t="s">
        <v>171</v>
      </c>
      <c r="D12" s="298">
        <f t="shared" si="1"/>
        <v>134</v>
      </c>
      <c r="E12" s="298">
        <f t="shared" si="1"/>
        <v>214</v>
      </c>
      <c r="F12" s="298">
        <f t="shared" si="1"/>
        <v>218</v>
      </c>
      <c r="G12" s="298">
        <f t="shared" si="1"/>
        <v>224</v>
      </c>
      <c r="H12" s="299">
        <f>SUM(D12:G12)</f>
        <v>790</v>
      </c>
      <c r="I12" s="283"/>
    </row>
    <row r="13" spans="1:9" s="281" customFormat="1">
      <c r="A13" s="284"/>
      <c r="C13" s="377" t="s">
        <v>244</v>
      </c>
      <c r="D13" s="296">
        <f>SUM(D10:D12)</f>
        <v>406</v>
      </c>
      <c r="E13" s="296">
        <f>SUM(E10:E12)</f>
        <v>828</v>
      </c>
      <c r="F13" s="296">
        <f>SUM(F10:F12)</f>
        <v>830</v>
      </c>
      <c r="G13" s="296">
        <f>SUM(G10:G12)</f>
        <v>856</v>
      </c>
      <c r="H13" s="297">
        <f>SUM(D10:G12)</f>
        <v>2920</v>
      </c>
      <c r="I13" s="283" t="s">
        <v>219</v>
      </c>
    </row>
    <row r="14" spans="1:9" s="281" customFormat="1">
      <c r="A14" s="284"/>
      <c r="D14" s="282"/>
      <c r="E14" s="282"/>
      <c r="F14" s="282"/>
      <c r="G14" s="282"/>
    </row>
    <row r="15" spans="1:9" s="281" customFormat="1">
      <c r="A15" s="284"/>
      <c r="C15" s="282"/>
      <c r="D15" s="670" t="s">
        <v>242</v>
      </c>
      <c r="E15" s="670"/>
      <c r="F15" s="670"/>
      <c r="G15" s="670"/>
      <c r="H15" s="283"/>
    </row>
    <row r="16" spans="1:9" s="281" customFormat="1" ht="17" customHeight="1">
      <c r="A16" s="284"/>
      <c r="C16" s="295" t="s">
        <v>174</v>
      </c>
      <c r="D16" s="286" t="s">
        <v>166</v>
      </c>
      <c r="E16" s="286" t="s">
        <v>167</v>
      </c>
      <c r="F16" s="286" t="s">
        <v>168</v>
      </c>
      <c r="G16" s="286" t="s">
        <v>169</v>
      </c>
      <c r="H16" s="287" t="s">
        <v>175</v>
      </c>
    </row>
    <row r="17" spans="1:14" s="281" customFormat="1">
      <c r="A17" s="284"/>
      <c r="B17" s="300">
        <v>2</v>
      </c>
      <c r="C17" s="289" t="s">
        <v>170</v>
      </c>
      <c r="D17" s="385">
        <v>6.9</v>
      </c>
      <c r="E17" s="385">
        <v>18.3</v>
      </c>
      <c r="F17" s="385">
        <v>17.8</v>
      </c>
      <c r="G17" s="385">
        <v>18.5</v>
      </c>
      <c r="H17" s="302">
        <f>AVERAGE(D17:G17)</f>
        <v>15.375</v>
      </c>
      <c r="J17" s="297"/>
      <c r="K17" s="297"/>
      <c r="L17" s="297"/>
      <c r="M17" s="297"/>
      <c r="N17" s="376"/>
    </row>
    <row r="18" spans="1:14" s="281" customFormat="1">
      <c r="A18" s="284"/>
      <c r="B18" s="300">
        <v>6</v>
      </c>
      <c r="C18" s="289" t="s">
        <v>241</v>
      </c>
      <c r="D18" s="385">
        <v>6.7</v>
      </c>
      <c r="E18" s="385">
        <v>12.4</v>
      </c>
      <c r="F18" s="385">
        <v>12.8</v>
      </c>
      <c r="G18" s="385">
        <v>13.1</v>
      </c>
      <c r="H18" s="302">
        <f>AVERAGE(D18:G18)</f>
        <v>11.25</v>
      </c>
      <c r="J18" s="297"/>
      <c r="K18" s="297"/>
      <c r="L18" s="297"/>
      <c r="M18" s="297"/>
      <c r="N18" s="376"/>
    </row>
    <row r="19" spans="1:14" s="281" customFormat="1">
      <c r="A19" s="284"/>
      <c r="B19" s="300">
        <v>10</v>
      </c>
      <c r="C19" s="292" t="s">
        <v>171</v>
      </c>
      <c r="D19" s="386">
        <v>6.7</v>
      </c>
      <c r="E19" s="386">
        <v>10.7</v>
      </c>
      <c r="F19" s="386">
        <v>10.9</v>
      </c>
      <c r="G19" s="386">
        <v>11.2</v>
      </c>
      <c r="H19" s="387">
        <f>AVERAGE(D19:G19)</f>
        <v>9.875</v>
      </c>
      <c r="J19" s="297"/>
      <c r="K19" s="297"/>
      <c r="L19" s="297"/>
      <c r="M19" s="297"/>
      <c r="N19" s="376"/>
    </row>
    <row r="20" spans="1:14" s="281" customFormat="1">
      <c r="A20" s="284"/>
      <c r="C20" s="289" t="s">
        <v>176</v>
      </c>
      <c r="D20" s="385">
        <f>AVERAGE(D17:D19)</f>
        <v>6.7666666666666666</v>
      </c>
      <c r="E20" s="385">
        <f>AVERAGE(E17:E19)</f>
        <v>13.800000000000002</v>
      </c>
      <c r="F20" s="385">
        <f>AVERAGE(F17:F19)</f>
        <v>13.833333333333334</v>
      </c>
      <c r="G20" s="385">
        <f>AVERAGE(G17:G19)</f>
        <v>14.266666666666666</v>
      </c>
      <c r="H20" s="302">
        <f>AVERAGE(D20:G20)</f>
        <v>12.166666666666668</v>
      </c>
      <c r="I20" s="283" t="s">
        <v>218</v>
      </c>
      <c r="J20" s="376"/>
      <c r="K20" s="376"/>
      <c r="L20" s="376"/>
      <c r="M20" s="376"/>
      <c r="N20" s="376"/>
    </row>
    <row r="21" spans="1:14" s="281" customFormat="1">
      <c r="A21" s="284"/>
      <c r="D21" s="282"/>
      <c r="E21" s="282"/>
      <c r="F21" s="282"/>
      <c r="G21" s="282"/>
    </row>
    <row r="22" spans="1:14" s="281" customFormat="1">
      <c r="A22" s="284"/>
      <c r="C22" s="282"/>
      <c r="D22" s="670" t="s">
        <v>242</v>
      </c>
      <c r="E22" s="670"/>
      <c r="F22" s="670"/>
      <c r="G22" s="670"/>
    </row>
    <row r="23" spans="1:14" s="281" customFormat="1">
      <c r="A23" s="284"/>
      <c r="C23" s="292" t="s">
        <v>177</v>
      </c>
      <c r="D23" s="286" t="s">
        <v>166</v>
      </c>
      <c r="E23" s="286" t="s">
        <v>167</v>
      </c>
      <c r="F23" s="286" t="s">
        <v>168</v>
      </c>
      <c r="G23" s="286" t="s">
        <v>169</v>
      </c>
      <c r="H23" s="283"/>
    </row>
    <row r="24" spans="1:14" s="281" customFormat="1">
      <c r="A24" s="284"/>
      <c r="B24" s="288"/>
      <c r="C24" s="289" t="s">
        <v>170</v>
      </c>
      <c r="D24" s="301">
        <v>9.9</v>
      </c>
      <c r="E24" s="301">
        <v>10.1</v>
      </c>
      <c r="F24" s="301">
        <v>9.8000000000000007</v>
      </c>
      <c r="G24" s="301">
        <v>10</v>
      </c>
      <c r="J24" s="303"/>
    </row>
    <row r="25" spans="1:14" s="281" customFormat="1">
      <c r="A25" s="284"/>
      <c r="B25" s="288"/>
      <c r="C25" s="289" t="s">
        <v>241</v>
      </c>
      <c r="D25" s="301">
        <v>10</v>
      </c>
      <c r="E25" s="301">
        <v>10.1</v>
      </c>
      <c r="F25" s="301">
        <v>9.9</v>
      </c>
      <c r="G25" s="301">
        <v>10.1</v>
      </c>
      <c r="I25" s="303"/>
      <c r="J25" s="303"/>
    </row>
    <row r="26" spans="1:14" s="281" customFormat="1">
      <c r="A26" s="284"/>
      <c r="B26" s="288"/>
      <c r="C26" s="292" t="s">
        <v>171</v>
      </c>
      <c r="D26" s="304">
        <v>10</v>
      </c>
      <c r="E26" s="304">
        <v>9.6</v>
      </c>
      <c r="F26" s="304">
        <v>9.9</v>
      </c>
      <c r="G26" s="304">
        <v>10.1</v>
      </c>
      <c r="H26" s="302">
        <f>AVERAGE(D24:G26)</f>
        <v>9.9583333333333321</v>
      </c>
      <c r="I26" s="303" t="s">
        <v>178</v>
      </c>
      <c r="J26" s="303"/>
    </row>
    <row r="27" spans="1:14" s="281" customFormat="1">
      <c r="A27" s="284"/>
      <c r="D27" s="282"/>
      <c r="E27" s="282"/>
      <c r="F27" s="282"/>
      <c r="G27" s="282"/>
    </row>
    <row r="28" spans="1:14" s="281" customFormat="1">
      <c r="A28" s="284"/>
      <c r="B28" s="288" t="s">
        <v>179</v>
      </c>
      <c r="C28" s="305">
        <f>H13^2/F29</f>
        <v>35526.666666666664</v>
      </c>
      <c r="D28" s="288"/>
      <c r="E28" s="306"/>
    </row>
    <row r="29" spans="1:14" s="281" customFormat="1">
      <c r="A29" s="307"/>
      <c r="B29" s="308"/>
      <c r="C29" s="288" t="s">
        <v>180</v>
      </c>
      <c r="D29" s="306">
        <v>20</v>
      </c>
      <c r="E29" s="288" t="s">
        <v>181</v>
      </c>
      <c r="F29" s="306">
        <f>D29*D30*D31</f>
        <v>240</v>
      </c>
    </row>
    <row r="30" spans="1:14" s="281" customFormat="1">
      <c r="A30" s="284"/>
      <c r="C30" s="288" t="s">
        <v>182</v>
      </c>
      <c r="D30" s="306">
        <v>4</v>
      </c>
      <c r="E30" s="288" t="s">
        <v>183</v>
      </c>
      <c r="F30" s="306">
        <f>D29*D31</f>
        <v>60</v>
      </c>
    </row>
    <row r="31" spans="1:14" s="281" customFormat="1">
      <c r="A31" s="284"/>
      <c r="C31" s="288" t="s">
        <v>217</v>
      </c>
      <c r="D31" s="306">
        <v>3</v>
      </c>
      <c r="E31" s="288" t="s">
        <v>184</v>
      </c>
      <c r="F31" s="306">
        <f>D29*D30</f>
        <v>80</v>
      </c>
    </row>
    <row r="32" spans="1:14" s="281" customFormat="1">
      <c r="A32" s="284"/>
    </row>
    <row r="33" spans="1:6" s="281" customFormat="1">
      <c r="A33" s="284"/>
      <c r="B33" s="309" t="s">
        <v>216</v>
      </c>
    </row>
    <row r="34" spans="1:6" s="281" customFormat="1">
      <c r="A34" s="284"/>
      <c r="B34" s="310" t="s">
        <v>185</v>
      </c>
      <c r="C34" s="300">
        <f>SUM(D3:G5)</f>
        <v>41856.9</v>
      </c>
    </row>
    <row r="35" spans="1:6" s="281" customFormat="1">
      <c r="A35" s="284"/>
      <c r="B35" s="310" t="s">
        <v>186</v>
      </c>
      <c r="C35" s="300">
        <f>SUMSQ(D10:G12)</f>
        <v>791728</v>
      </c>
    </row>
    <row r="36" spans="1:6" s="281" customFormat="1">
      <c r="A36" s="284"/>
      <c r="B36" s="310" t="s">
        <v>187</v>
      </c>
      <c r="C36" s="300">
        <f>SUMSQ(D13:G13)</f>
        <v>2272056</v>
      </c>
    </row>
    <row r="37" spans="1:6" s="281" customFormat="1">
      <c r="A37" s="284"/>
      <c r="B37" s="310" t="s">
        <v>188</v>
      </c>
      <c r="C37" s="300">
        <f>SUMSQ(H10:H12)</f>
        <v>2947000</v>
      </c>
    </row>
    <row r="38" spans="1:6" s="281" customFormat="1">
      <c r="A38" s="284"/>
      <c r="B38" s="308" t="s">
        <v>189</v>
      </c>
      <c r="C38" s="300">
        <f>H13^2</f>
        <v>8526400</v>
      </c>
    </row>
    <row r="39" spans="1:6" s="281" customFormat="1">
      <c r="A39" s="284"/>
      <c r="B39" s="308"/>
      <c r="C39" s="300"/>
    </row>
    <row r="40" spans="1:6">
      <c r="A40" s="18" t="s">
        <v>190</v>
      </c>
    </row>
    <row r="41" spans="1:6">
      <c r="D41" s="311"/>
      <c r="E41" s="311"/>
      <c r="F41" s="381"/>
    </row>
    <row r="42" spans="1:6">
      <c r="B42" s="382"/>
      <c r="C42" s="312"/>
      <c r="D42" s="313"/>
      <c r="E42" s="313"/>
      <c r="F42" s="312"/>
    </row>
    <row r="43" spans="1:6">
      <c r="B43" s="382"/>
      <c r="C43" s="312"/>
      <c r="D43" s="313"/>
      <c r="E43" s="313"/>
      <c r="F43" s="312"/>
    </row>
    <row r="44" spans="1:6">
      <c r="B44" s="382"/>
      <c r="C44" s="312"/>
      <c r="D44" s="313"/>
      <c r="E44" s="313"/>
      <c r="F44" s="312"/>
    </row>
    <row r="45" spans="1:6">
      <c r="B45" s="308"/>
      <c r="C45" s="312"/>
    </row>
    <row r="46" spans="1:6">
      <c r="B46" s="312"/>
    </row>
    <row r="47" spans="1:6">
      <c r="B47" s="383"/>
    </row>
    <row r="48" spans="1:6">
      <c r="B48" s="384"/>
      <c r="C48" s="95"/>
    </row>
    <row r="49" spans="1:8">
      <c r="B49" s="48"/>
      <c r="C49" s="312"/>
    </row>
    <row r="50" spans="1:8">
      <c r="B50" s="48"/>
      <c r="C50" s="312"/>
    </row>
    <row r="51" spans="1:8">
      <c r="B51" s="48"/>
      <c r="C51" s="312"/>
    </row>
    <row r="52" spans="1:8">
      <c r="B52" s="48"/>
      <c r="C52" s="312"/>
    </row>
    <row r="53" spans="1:8">
      <c r="B53" s="315"/>
      <c r="C53" s="312"/>
    </row>
    <row r="54" spans="1:8">
      <c r="B54" s="312"/>
      <c r="C54" s="314"/>
    </row>
    <row r="55" spans="1:8">
      <c r="B55" s="312"/>
    </row>
    <row r="56" spans="1:8">
      <c r="B56" s="312"/>
      <c r="C56" s="315"/>
    </row>
    <row r="57" spans="1:8" s="83" customFormat="1" ht="12" customHeight="1">
      <c r="A57" s="18"/>
      <c r="B57" s="671" t="s">
        <v>252</v>
      </c>
      <c r="C57" s="672"/>
      <c r="D57" s="672"/>
      <c r="E57" s="672"/>
      <c r="F57" s="672"/>
    </row>
    <row r="58" spans="1:8" s="83" customFormat="1" ht="38" customHeight="1">
      <c r="A58" s="18"/>
      <c r="B58" s="672"/>
      <c r="C58" s="672"/>
      <c r="D58" s="672"/>
      <c r="E58" s="672"/>
      <c r="F58" s="672"/>
    </row>
    <row r="59" spans="1:8" s="83" customFormat="1">
      <c r="A59" s="18"/>
      <c r="B59" s="84"/>
      <c r="C59" s="353"/>
    </row>
    <row r="60" spans="1:8" ht="13" thickBot="1">
      <c r="B60" s="312"/>
    </row>
    <row r="61" spans="1:8" s="281" customFormat="1">
      <c r="A61" s="316" t="s">
        <v>191</v>
      </c>
      <c r="B61" s="317" t="s">
        <v>192</v>
      </c>
      <c r="C61" s="318" t="s">
        <v>42</v>
      </c>
      <c r="D61" s="319">
        <v>0.05</v>
      </c>
      <c r="E61" s="320"/>
      <c r="F61" s="321"/>
      <c r="G61" s="322"/>
      <c r="H61" s="323"/>
    </row>
    <row r="62" spans="1:8" s="281" customFormat="1">
      <c r="A62" s="284"/>
      <c r="B62" s="324" t="s">
        <v>240</v>
      </c>
      <c r="C62" s="325" t="s">
        <v>239</v>
      </c>
      <c r="D62" s="325" t="s">
        <v>238</v>
      </c>
      <c r="E62" s="325" t="s">
        <v>237</v>
      </c>
      <c r="F62" s="326" t="s">
        <v>236</v>
      </c>
      <c r="G62" s="327" t="s">
        <v>235</v>
      </c>
      <c r="H62" s="328" t="s">
        <v>234</v>
      </c>
    </row>
    <row r="63" spans="1:8" s="281" customFormat="1">
      <c r="A63" s="284"/>
      <c r="B63" s="329" t="s">
        <v>215</v>
      </c>
      <c r="C63" s="297">
        <f>D30*D31-1</f>
        <v>11</v>
      </c>
      <c r="D63" s="291">
        <f>C35/D29-C28</f>
        <v>4059.7333333333372</v>
      </c>
      <c r="E63" s="302"/>
      <c r="F63" s="282"/>
      <c r="G63" s="302"/>
      <c r="H63" s="330"/>
    </row>
    <row r="64" spans="1:8" s="281" customFormat="1">
      <c r="A64" s="284"/>
      <c r="B64" s="331" t="s">
        <v>193</v>
      </c>
      <c r="C64" s="332">
        <f>D30-1</f>
        <v>3</v>
      </c>
      <c r="D64" s="333">
        <f>C36/F30-C28</f>
        <v>2340.9333333333343</v>
      </c>
      <c r="E64" s="334">
        <f>D64/C64</f>
        <v>780.31111111111147</v>
      </c>
      <c r="F64" s="335">
        <f>E64/$E$67</f>
        <v>78.357601115760147</v>
      </c>
      <c r="G64" s="335">
        <f>FINV(0.05,C64,$C$67)</f>
        <v>2.6441944791496597</v>
      </c>
      <c r="H64" s="330" t="str">
        <f>IF(F64&gt;G64," Reject H0", " Don't reject H0")</f>
        <v xml:space="preserve"> Reject H0</v>
      </c>
    </row>
    <row r="65" spans="1:8" s="281" customFormat="1">
      <c r="A65" s="284"/>
      <c r="B65" s="331" t="s">
        <v>194</v>
      </c>
      <c r="C65" s="332">
        <f>D31-1</f>
        <v>2</v>
      </c>
      <c r="D65" s="333">
        <f>C37/F31-C28</f>
        <v>1310.8333333333358</v>
      </c>
      <c r="E65" s="334">
        <f>D65/C65</f>
        <v>655.41666666666788</v>
      </c>
      <c r="F65" s="335">
        <f>E65/$E$67</f>
        <v>65.815899581590074</v>
      </c>
      <c r="G65" s="335">
        <f>FINV(0.05,C65,$C$67)</f>
        <v>3.0354407908527077</v>
      </c>
      <c r="H65" s="330" t="str">
        <f>IF(F65&gt;G65," Reject H0", " Don't reject H0")</f>
        <v xml:space="preserve"> Reject H0</v>
      </c>
    </row>
    <row r="66" spans="1:8" s="281" customFormat="1">
      <c r="A66" s="284"/>
      <c r="B66" s="331" t="s">
        <v>195</v>
      </c>
      <c r="C66" s="332">
        <f>C64*C65</f>
        <v>6</v>
      </c>
      <c r="D66" s="333">
        <f>D63-(D64+D65)</f>
        <v>407.96666666666715</v>
      </c>
      <c r="E66" s="334">
        <f>D66/C66</f>
        <v>67.994444444444525</v>
      </c>
      <c r="F66" s="335">
        <f>E66/$E$67</f>
        <v>6.8278940027894084</v>
      </c>
      <c r="G66" s="335">
        <f>FINV(0.05,C66,$C$67)</f>
        <v>2.1384907582302444</v>
      </c>
      <c r="H66" s="330" t="str">
        <f>IF(F66&gt;G66," Reject H0", " Don't reject H0")</f>
        <v xml:space="preserve"> Reject H0</v>
      </c>
    </row>
    <row r="67" spans="1:8" s="281" customFormat="1">
      <c r="A67" s="284"/>
      <c r="B67" s="329" t="s">
        <v>196</v>
      </c>
      <c r="C67" s="297">
        <f>D30*D31*(D29-1)</f>
        <v>228</v>
      </c>
      <c r="D67" s="291">
        <f>C34-C35/D29</f>
        <v>2270.5</v>
      </c>
      <c r="E67" s="302">
        <f>D67/C67</f>
        <v>9.9583333333333339</v>
      </c>
      <c r="F67" s="288"/>
      <c r="G67" s="300"/>
      <c r="H67" s="336"/>
    </row>
    <row r="68" spans="1:8" s="281" customFormat="1" ht="13" thickBot="1">
      <c r="A68" s="284"/>
      <c r="B68" s="337" t="s">
        <v>197</v>
      </c>
      <c r="C68" s="338">
        <f>C63+C67</f>
        <v>239</v>
      </c>
      <c r="D68" s="339">
        <f>D63+D67</f>
        <v>6330.2333333333372</v>
      </c>
      <c r="E68" s="340"/>
      <c r="F68" s="341"/>
      <c r="G68" s="338"/>
      <c r="H68" s="342"/>
    </row>
    <row r="69" spans="1:8" s="281" customFormat="1">
      <c r="A69" s="284"/>
    </row>
    <row r="70" spans="1:8" s="281" customFormat="1">
      <c r="A70" s="316" t="s">
        <v>233</v>
      </c>
      <c r="B70" s="309" t="s">
        <v>232</v>
      </c>
    </row>
    <row r="71" spans="1:8" s="281" customFormat="1">
      <c r="A71" s="284"/>
      <c r="B71" s="288" t="s">
        <v>198</v>
      </c>
      <c r="C71" s="343">
        <v>0.95</v>
      </c>
    </row>
    <row r="72" spans="1:8" s="281" customFormat="1">
      <c r="A72" s="284"/>
      <c r="B72" s="288"/>
      <c r="C72" s="343"/>
    </row>
    <row r="73" spans="1:8" s="281" customFormat="1">
      <c r="A73" s="284"/>
      <c r="B73" s="305" t="s">
        <v>199</v>
      </c>
      <c r="D73" s="305" t="s">
        <v>200</v>
      </c>
    </row>
    <row r="74" spans="1:8" s="281" customFormat="1">
      <c r="A74" s="284"/>
      <c r="B74" s="288" t="s">
        <v>210</v>
      </c>
      <c r="C74" s="344">
        <f>SQRT(E67/D29)</f>
        <v>0.7056321043338849</v>
      </c>
      <c r="D74" s="288" t="s">
        <v>210</v>
      </c>
      <c r="E74" s="344">
        <f>SQRT(E67/F31)</f>
        <v>0.35281605216694245</v>
      </c>
    </row>
    <row r="75" spans="1:8" s="281" customFormat="1" ht="13" thickBot="1">
      <c r="A75" s="284"/>
      <c r="B75" s="288" t="s">
        <v>201</v>
      </c>
      <c r="C75" s="344">
        <f>TINV(1-C71,C67)</f>
        <v>1.9704231946745263</v>
      </c>
      <c r="D75" s="288" t="s">
        <v>201</v>
      </c>
      <c r="E75" s="344">
        <f>TINV(1-C71,C67)</f>
        <v>1.9704231946745263</v>
      </c>
    </row>
    <row r="76" spans="1:8" s="281" customFormat="1" ht="13" thickBot="1">
      <c r="A76" s="284"/>
      <c r="B76" s="345" t="s">
        <v>202</v>
      </c>
      <c r="C76" s="346">
        <f>C74*C75</f>
        <v>1.3903938652864822</v>
      </c>
      <c r="D76" s="345" t="s">
        <v>202</v>
      </c>
      <c r="E76" s="346">
        <f>E74*E75</f>
        <v>0.69519693264324112</v>
      </c>
    </row>
    <row r="77" spans="1:8" s="281" customFormat="1">
      <c r="A77" s="284"/>
      <c r="E77" s="347"/>
    </row>
    <row r="78" spans="1:8" s="281" customFormat="1">
      <c r="A78" s="284"/>
      <c r="B78" s="305" t="s">
        <v>203</v>
      </c>
      <c r="D78" s="305" t="s">
        <v>231</v>
      </c>
      <c r="E78" s="347"/>
    </row>
    <row r="79" spans="1:8" s="281" customFormat="1">
      <c r="A79" s="284"/>
      <c r="B79" s="288" t="s">
        <v>210</v>
      </c>
      <c r="C79" s="344">
        <f>SQRT(E67/F30)</f>
        <v>0.4073968853860106</v>
      </c>
      <c r="D79" s="288" t="s">
        <v>210</v>
      </c>
      <c r="E79" s="344">
        <f>SQRT(E67/F29)</f>
        <v>0.2036984426930053</v>
      </c>
    </row>
    <row r="80" spans="1:8" s="281" customFormat="1" ht="13" thickBot="1">
      <c r="A80" s="284"/>
      <c r="B80" s="288" t="s">
        <v>201</v>
      </c>
      <c r="C80" s="344">
        <f>TINV(1-C71,C67)</f>
        <v>1.9704231946745263</v>
      </c>
      <c r="D80" s="288" t="s">
        <v>201</v>
      </c>
      <c r="E80" s="344">
        <f>TINV(1-C71,C67)</f>
        <v>1.9704231946745263</v>
      </c>
    </row>
    <row r="81" spans="1:13" s="281" customFormat="1" ht="13" thickBot="1">
      <c r="A81" s="284"/>
      <c r="B81" s="345" t="s">
        <v>202</v>
      </c>
      <c r="C81" s="346">
        <f>C79*C80</f>
        <v>0.80274427240275481</v>
      </c>
      <c r="D81" s="345" t="s">
        <v>202</v>
      </c>
      <c r="E81" s="346">
        <f>E79*E80</f>
        <v>0.40137213620137741</v>
      </c>
    </row>
    <row r="83" spans="1:13" s="83" customFormat="1">
      <c r="A83" s="18" t="s">
        <v>230</v>
      </c>
      <c r="B83" s="83" t="s">
        <v>229</v>
      </c>
      <c r="D83" s="348"/>
      <c r="E83" s="348"/>
      <c r="F83" s="349"/>
    </row>
    <row r="84" spans="1:13" s="83" customFormat="1">
      <c r="A84" s="18"/>
      <c r="B84" s="350" t="s">
        <v>213</v>
      </c>
      <c r="C84" s="351">
        <f>SUMSQ(D10:G10)/D29-H10^2/F31</f>
        <v>1920.5499999999993</v>
      </c>
      <c r="D84" s="352"/>
      <c r="E84" s="352"/>
      <c r="F84" s="352"/>
    </row>
    <row r="85" spans="1:13" s="83" customFormat="1">
      <c r="A85" s="18"/>
      <c r="B85" s="350" t="s">
        <v>204</v>
      </c>
      <c r="C85" s="353">
        <f>D30-1</f>
        <v>3</v>
      </c>
      <c r="D85" s="352"/>
      <c r="E85" s="352"/>
      <c r="F85" s="352"/>
    </row>
    <row r="86" spans="1:13" s="83" customFormat="1">
      <c r="A86" s="18"/>
      <c r="B86" s="350" t="s">
        <v>226</v>
      </c>
      <c r="C86" s="354">
        <f>C84/C85</f>
        <v>640.18333333333305</v>
      </c>
      <c r="D86" s="352"/>
      <c r="E86" s="352"/>
      <c r="F86" s="352"/>
    </row>
    <row r="87" spans="1:13" s="83" customFormat="1">
      <c r="A87" s="18"/>
      <c r="B87" s="355" t="s">
        <v>224</v>
      </c>
      <c r="C87" s="84">
        <f>E67</f>
        <v>9.9583333333333339</v>
      </c>
      <c r="D87" s="83" t="s">
        <v>214</v>
      </c>
    </row>
    <row r="88" spans="1:13" s="83" customFormat="1" ht="13" thickBot="1">
      <c r="A88" s="18"/>
      <c r="B88" s="355" t="s">
        <v>205</v>
      </c>
      <c r="C88" s="353">
        <f>C67</f>
        <v>228</v>
      </c>
      <c r="D88" s="83" t="s">
        <v>214</v>
      </c>
    </row>
    <row r="89" spans="1:13" s="83" customFormat="1">
      <c r="A89" s="18"/>
      <c r="B89" s="356" t="s">
        <v>223</v>
      </c>
      <c r="C89" s="357">
        <f>C86/C87</f>
        <v>64.28619246861922</v>
      </c>
    </row>
    <row r="90" spans="1:13" s="83" customFormat="1">
      <c r="A90" s="15"/>
      <c r="B90" s="358" t="s">
        <v>212</v>
      </c>
      <c r="C90" s="359">
        <f>FINV(0.05, C85,C88)</f>
        <v>2.6441944791496597</v>
      </c>
    </row>
    <row r="91" spans="1:13" s="83" customFormat="1" ht="13" thickBot="1">
      <c r="A91" s="18"/>
      <c r="B91" s="360" t="s">
        <v>211</v>
      </c>
      <c r="C91" s="361" t="s">
        <v>206</v>
      </c>
      <c r="D91" s="352"/>
      <c r="E91" s="352"/>
      <c r="F91" s="352"/>
      <c r="G91" s="352"/>
      <c r="H91" s="352"/>
      <c r="I91" s="352"/>
      <c r="J91" s="352"/>
      <c r="K91" s="297"/>
      <c r="L91" s="297"/>
    </row>
    <row r="92" spans="1:13" s="83" customFormat="1">
      <c r="A92" s="18"/>
      <c r="C92" s="349"/>
      <c r="D92" s="78"/>
      <c r="E92" s="78"/>
      <c r="F92" s="78"/>
      <c r="G92" s="78"/>
      <c r="H92" s="78"/>
      <c r="I92" s="78"/>
    </row>
    <row r="93" spans="1:13" s="83" customFormat="1">
      <c r="A93" s="18" t="s">
        <v>228</v>
      </c>
      <c r="B93" s="83" t="s">
        <v>227</v>
      </c>
      <c r="C93" s="349"/>
      <c r="D93" s="352"/>
      <c r="E93" s="352"/>
      <c r="F93" s="352"/>
      <c r="G93" s="352"/>
      <c r="H93" s="352"/>
      <c r="I93" s="352"/>
    </row>
    <row r="94" spans="1:13" s="83" customFormat="1">
      <c r="A94" s="18"/>
      <c r="B94" s="350" t="s">
        <v>213</v>
      </c>
      <c r="C94" s="354">
        <f>C84</f>
        <v>1920.5499999999993</v>
      </c>
      <c r="D94" s="362"/>
      <c r="E94" s="362"/>
      <c r="F94" s="362"/>
      <c r="G94" s="362"/>
      <c r="H94" s="362"/>
      <c r="I94" s="362"/>
      <c r="J94" s="84"/>
    </row>
    <row r="95" spans="1:13" s="83" customFormat="1">
      <c r="A95" s="18"/>
      <c r="B95" s="350" t="s">
        <v>204</v>
      </c>
      <c r="C95" s="353">
        <f>C85</f>
        <v>3</v>
      </c>
      <c r="D95" s="362"/>
      <c r="E95" s="362"/>
      <c r="F95" s="362"/>
      <c r="G95" s="362"/>
      <c r="H95" s="362"/>
      <c r="I95" s="362"/>
      <c r="J95" s="84"/>
    </row>
    <row r="96" spans="1:13" s="83" customFormat="1">
      <c r="A96" s="18"/>
      <c r="B96" s="350" t="s">
        <v>226</v>
      </c>
      <c r="C96" s="354">
        <f>C86</f>
        <v>640.18333333333305</v>
      </c>
      <c r="D96" s="362"/>
      <c r="E96" s="362"/>
      <c r="F96" s="362"/>
      <c r="G96" s="362"/>
      <c r="H96" s="362"/>
      <c r="I96" s="362"/>
      <c r="J96" s="84"/>
      <c r="M96" s="363"/>
    </row>
    <row r="97" spans="1:10" s="83" customFormat="1">
      <c r="A97" s="18"/>
      <c r="B97" s="355" t="s">
        <v>225</v>
      </c>
      <c r="C97" s="351">
        <f>SUM(D3:G3)-SUMSQ(D10:G10)/D29</f>
        <v>756.20000000000073</v>
      </c>
      <c r="D97" s="84" t="s">
        <v>207</v>
      </c>
      <c r="E97" s="362"/>
      <c r="F97" s="362"/>
      <c r="G97" s="362"/>
      <c r="H97" s="362"/>
      <c r="I97" s="362"/>
      <c r="J97" s="84"/>
    </row>
    <row r="98" spans="1:10" s="83" customFormat="1">
      <c r="A98" s="18"/>
      <c r="B98" s="355" t="s">
        <v>205</v>
      </c>
      <c r="C98" s="353">
        <f>(D29-1)*D30</f>
        <v>76</v>
      </c>
      <c r="D98" s="84" t="s">
        <v>208</v>
      </c>
      <c r="E98" s="362"/>
      <c r="F98" s="362"/>
      <c r="G98" s="362"/>
      <c r="H98" s="362"/>
      <c r="I98" s="362"/>
      <c r="J98" s="84"/>
    </row>
    <row r="99" spans="1:10" s="83" customFormat="1" ht="13" thickBot="1">
      <c r="A99" s="18"/>
      <c r="B99" s="355" t="s">
        <v>224</v>
      </c>
      <c r="C99" s="84">
        <f>C97/C98</f>
        <v>9.9500000000000099</v>
      </c>
      <c r="D99" s="362"/>
      <c r="E99" s="362"/>
      <c r="F99" s="362"/>
      <c r="G99" s="362"/>
      <c r="H99" s="362"/>
      <c r="I99" s="362"/>
      <c r="J99" s="84"/>
    </row>
    <row r="100" spans="1:10" s="83" customFormat="1">
      <c r="A100" s="18"/>
      <c r="B100" s="356" t="s">
        <v>223</v>
      </c>
      <c r="C100" s="364">
        <f>C96/C99</f>
        <v>64.340033500837421</v>
      </c>
      <c r="D100" s="78"/>
      <c r="E100" s="78"/>
      <c r="F100" s="78"/>
    </row>
    <row r="101" spans="1:10" s="83" customFormat="1">
      <c r="A101" s="18"/>
      <c r="B101" s="358" t="s">
        <v>212</v>
      </c>
      <c r="C101" s="365">
        <f>FINV(0.05, C95,C98)</f>
        <v>2.7249439202759191</v>
      </c>
      <c r="D101" s="352"/>
      <c r="E101" s="348"/>
      <c r="F101" s="348"/>
    </row>
    <row r="102" spans="1:10" s="83" customFormat="1" ht="13" thickBot="1">
      <c r="A102" s="18"/>
      <c r="B102" s="360" t="s">
        <v>211</v>
      </c>
      <c r="C102" s="361" t="s">
        <v>206</v>
      </c>
      <c r="D102" s="352"/>
      <c r="E102" s="348"/>
      <c r="F102" s="348"/>
    </row>
    <row r="103" spans="1:10" s="83" customFormat="1">
      <c r="A103" s="18"/>
      <c r="B103" s="366"/>
      <c r="C103" s="352"/>
      <c r="D103" s="352"/>
      <c r="E103" s="348"/>
      <c r="F103" s="348"/>
    </row>
    <row r="104" spans="1:10" s="83" customFormat="1">
      <c r="A104" s="18" t="s">
        <v>222</v>
      </c>
      <c r="B104" s="305" t="s">
        <v>199</v>
      </c>
      <c r="C104" s="281"/>
      <c r="D104" s="352"/>
      <c r="E104" s="348"/>
      <c r="F104" s="348"/>
      <c r="J104" s="367"/>
    </row>
    <row r="105" spans="1:10" s="83" customFormat="1">
      <c r="A105" s="18"/>
      <c r="B105" s="288" t="s">
        <v>210</v>
      </c>
      <c r="C105" s="344">
        <f>SQRT(C99/D29)</f>
        <v>0.7053367989832946</v>
      </c>
      <c r="D105" s="352"/>
      <c r="E105" s="348"/>
      <c r="F105" s="348"/>
    </row>
    <row r="106" spans="1:10" s="83" customFormat="1" ht="13" thickBot="1">
      <c r="A106" s="18"/>
      <c r="B106" s="288" t="s">
        <v>201</v>
      </c>
      <c r="C106" s="344">
        <f>TINV(0.05,C98)</f>
        <v>1.991672609644662</v>
      </c>
      <c r="D106" s="352"/>
      <c r="E106" s="368"/>
      <c r="F106" s="368"/>
    </row>
    <row r="107" spans="1:10" s="83" customFormat="1" ht="13" thickBot="1">
      <c r="A107" s="18"/>
      <c r="B107" s="345" t="s">
        <v>202</v>
      </c>
      <c r="C107" s="346">
        <f>C105*C106</f>
        <v>1.4047999831094706</v>
      </c>
      <c r="D107" s="352"/>
      <c r="E107" s="368"/>
      <c r="F107" s="368"/>
    </row>
    <row r="108" spans="1:10" s="83" customFormat="1">
      <c r="A108" s="18"/>
      <c r="B108" s="281"/>
      <c r="C108" s="281"/>
    </row>
    <row r="109" spans="1:10" s="83" customFormat="1">
      <c r="A109" s="18"/>
      <c r="B109" s="305" t="s">
        <v>209</v>
      </c>
      <c r="C109" s="281"/>
    </row>
    <row r="110" spans="1:10" s="83" customFormat="1">
      <c r="A110" s="18"/>
      <c r="B110" s="288" t="s">
        <v>210</v>
      </c>
      <c r="C110" s="344">
        <f>SQRT(C99/F31)</f>
        <v>0.3526683994916473</v>
      </c>
    </row>
    <row r="111" spans="1:10" s="83" customFormat="1" ht="13" thickBot="1">
      <c r="A111" s="18"/>
      <c r="B111" s="288" t="s">
        <v>201</v>
      </c>
      <c r="C111" s="344">
        <f>TINV(0.05,C98)</f>
        <v>1.991672609644662</v>
      </c>
      <c r="D111" s="78"/>
      <c r="E111" s="78"/>
      <c r="F111" s="78"/>
      <c r="G111" s="78"/>
      <c r="H111" s="78"/>
      <c r="I111" s="78"/>
    </row>
    <row r="112" spans="1:10" s="83" customFormat="1" ht="13" thickBot="1">
      <c r="A112" s="18"/>
      <c r="B112" s="345" t="s">
        <v>202</v>
      </c>
      <c r="C112" s="346">
        <f>C110*C111</f>
        <v>0.70239999155473531</v>
      </c>
    </row>
    <row r="113" spans="1:12" s="83" customFormat="1">
      <c r="A113" s="18"/>
      <c r="B113" s="355"/>
      <c r="C113" s="352"/>
      <c r="D113" s="352"/>
      <c r="E113" s="352"/>
      <c r="F113" s="352"/>
      <c r="G113" s="352"/>
      <c r="H113" s="352"/>
      <c r="I113" s="352"/>
      <c r="J113" s="352"/>
      <c r="K113" s="297"/>
      <c r="L113" s="297"/>
    </row>
    <row r="114" spans="1:12" s="83" customFormat="1">
      <c r="A114" s="18"/>
      <c r="B114" s="355"/>
      <c r="C114" s="352"/>
      <c r="D114" s="352"/>
      <c r="E114" s="352"/>
      <c r="F114" s="352"/>
      <c r="G114" s="352"/>
      <c r="H114" s="352"/>
      <c r="I114" s="352"/>
      <c r="J114" s="352"/>
      <c r="K114" s="297"/>
      <c r="L114" s="297"/>
    </row>
    <row r="115" spans="1:12" s="83" customFormat="1">
      <c r="A115" s="15" t="s">
        <v>251</v>
      </c>
      <c r="B115" s="366"/>
      <c r="C115" s="362"/>
      <c r="D115" s="352"/>
      <c r="E115" s="348"/>
      <c r="F115" s="348"/>
      <c r="G115" s="348"/>
    </row>
    <row r="116" spans="1:12">
      <c r="A116" s="18" t="s">
        <v>246</v>
      </c>
      <c r="B116" s="378" t="s">
        <v>245</v>
      </c>
      <c r="C116" s="369"/>
      <c r="D116" s="667" t="s">
        <v>255</v>
      </c>
      <c r="E116" s="668"/>
    </row>
    <row r="117" spans="1:12">
      <c r="B117" s="279"/>
      <c r="C117" s="388"/>
      <c r="D117" s="393">
        <v>1</v>
      </c>
      <c r="E117" s="393">
        <v>2</v>
      </c>
    </row>
    <row r="118" spans="1:12">
      <c r="A118" s="83"/>
      <c r="B118" s="669" t="s">
        <v>256</v>
      </c>
      <c r="C118" s="395" t="s">
        <v>253</v>
      </c>
      <c r="D118" s="389">
        <v>1</v>
      </c>
      <c r="E118" s="389">
        <v>3</v>
      </c>
    </row>
    <row r="119" spans="1:12">
      <c r="A119" s="83"/>
      <c r="B119" s="669"/>
      <c r="C119" s="395" t="s">
        <v>254</v>
      </c>
      <c r="D119" s="389">
        <v>3</v>
      </c>
      <c r="E119" s="389">
        <v>1</v>
      </c>
    </row>
    <row r="120" spans="1:12">
      <c r="B120" s="16"/>
      <c r="C120" s="390"/>
      <c r="D120" s="390"/>
      <c r="E120" s="390"/>
    </row>
    <row r="121" spans="1:12">
      <c r="B121" s="16"/>
      <c r="C121" s="390"/>
      <c r="D121" s="390"/>
      <c r="E121" s="390"/>
    </row>
    <row r="122" spans="1:12">
      <c r="B122" s="16"/>
      <c r="C122" s="390"/>
      <c r="D122" s="390"/>
      <c r="E122" s="390"/>
    </row>
    <row r="123" spans="1:12">
      <c r="B123" s="16"/>
      <c r="C123" s="390"/>
      <c r="D123" s="390"/>
      <c r="E123" s="390"/>
    </row>
    <row r="124" spans="1:12">
      <c r="B124" s="16"/>
      <c r="C124" s="390"/>
      <c r="D124" s="390"/>
      <c r="E124" s="390"/>
    </row>
    <row r="125" spans="1:12">
      <c r="B125" s="16"/>
      <c r="C125" s="390"/>
      <c r="D125" s="390"/>
      <c r="E125" s="390"/>
    </row>
    <row r="126" spans="1:12">
      <c r="B126" s="16"/>
      <c r="C126" s="390"/>
      <c r="D126" s="390"/>
      <c r="E126" s="390"/>
    </row>
    <row r="127" spans="1:12">
      <c r="B127" s="16"/>
      <c r="C127" s="390"/>
      <c r="D127" s="390"/>
      <c r="E127" s="390"/>
    </row>
    <row r="128" spans="1:12" s="83" customFormat="1">
      <c r="A128" s="18" t="s">
        <v>0</v>
      </c>
      <c r="B128" s="378" t="s">
        <v>247</v>
      </c>
      <c r="C128" s="354"/>
      <c r="D128" s="667" t="s">
        <v>255</v>
      </c>
      <c r="E128" s="668"/>
    </row>
    <row r="129" spans="1:7" s="83" customFormat="1">
      <c r="A129" s="18"/>
      <c r="B129" s="279"/>
      <c r="C129" s="388"/>
      <c r="D129" s="393">
        <v>1</v>
      </c>
      <c r="E129" s="393">
        <v>2</v>
      </c>
    </row>
    <row r="130" spans="1:7" s="83" customFormat="1">
      <c r="B130" s="669" t="s">
        <v>256</v>
      </c>
      <c r="C130" s="395" t="s">
        <v>253</v>
      </c>
      <c r="D130" s="389">
        <v>1</v>
      </c>
      <c r="E130" s="389">
        <v>1</v>
      </c>
    </row>
    <row r="131" spans="1:7" s="83" customFormat="1">
      <c r="B131" s="669"/>
      <c r="C131" s="395" t="s">
        <v>254</v>
      </c>
      <c r="D131" s="389">
        <v>2</v>
      </c>
      <c r="E131" s="389">
        <v>2</v>
      </c>
    </row>
    <row r="132" spans="1:7" s="83" customFormat="1">
      <c r="B132" s="379"/>
      <c r="C132" s="394"/>
      <c r="D132" s="391"/>
      <c r="E132" s="391"/>
    </row>
    <row r="133" spans="1:7" s="83" customFormat="1">
      <c r="B133" s="379"/>
      <c r="C133" s="391"/>
      <c r="D133" s="391"/>
      <c r="E133" s="391"/>
    </row>
    <row r="134" spans="1:7" s="83" customFormat="1">
      <c r="B134" s="379"/>
      <c r="C134" s="391"/>
      <c r="D134" s="391"/>
      <c r="E134" s="391"/>
    </row>
    <row r="135" spans="1:7" s="83" customFormat="1">
      <c r="B135" s="16"/>
      <c r="C135" s="391"/>
      <c r="D135" s="391"/>
      <c r="E135" s="391"/>
    </row>
    <row r="136" spans="1:7" s="83" customFormat="1">
      <c r="B136" s="16"/>
      <c r="C136" s="391"/>
      <c r="D136" s="391"/>
      <c r="E136" s="391"/>
    </row>
    <row r="137" spans="1:7" s="83" customFormat="1">
      <c r="B137" s="16"/>
      <c r="C137" s="391"/>
      <c r="D137" s="391"/>
      <c r="E137" s="391"/>
    </row>
    <row r="138" spans="1:7" s="83" customFormat="1">
      <c r="B138" s="16"/>
      <c r="C138" s="391"/>
      <c r="D138" s="391"/>
      <c r="E138" s="391"/>
    </row>
    <row r="139" spans="1:7" s="83" customFormat="1">
      <c r="B139" s="16"/>
      <c r="C139" s="391"/>
      <c r="D139" s="391"/>
      <c r="E139" s="391"/>
    </row>
    <row r="140" spans="1:7" s="83" customFormat="1">
      <c r="A140" s="18"/>
      <c r="B140" s="74"/>
      <c r="C140" s="389"/>
      <c r="D140" s="389"/>
      <c r="E140" s="391"/>
    </row>
    <row r="141" spans="1:7" s="83" customFormat="1">
      <c r="A141" s="18" t="s">
        <v>1</v>
      </c>
      <c r="B141" s="378" t="s">
        <v>248</v>
      </c>
      <c r="C141" s="354"/>
      <c r="D141" s="667" t="s">
        <v>255</v>
      </c>
      <c r="E141" s="668"/>
      <c r="F141" s="348"/>
      <c r="G141" s="348"/>
    </row>
    <row r="142" spans="1:7" s="83" customFormat="1">
      <c r="A142" s="18"/>
      <c r="B142" s="279"/>
      <c r="C142" s="388"/>
      <c r="D142" s="393">
        <v>1</v>
      </c>
      <c r="E142" s="393">
        <v>2</v>
      </c>
      <c r="F142" s="25"/>
    </row>
    <row r="143" spans="1:7" s="83" customFormat="1">
      <c r="B143" s="669" t="s">
        <v>256</v>
      </c>
      <c r="C143" s="395" t="s">
        <v>253</v>
      </c>
      <c r="D143" s="389">
        <v>2</v>
      </c>
      <c r="E143" s="389">
        <v>2</v>
      </c>
      <c r="F143" s="78"/>
    </row>
    <row r="144" spans="1:7" s="83" customFormat="1">
      <c r="A144" s="18"/>
      <c r="B144" s="669"/>
      <c r="C144" s="395" t="s">
        <v>254</v>
      </c>
      <c r="D144" s="389">
        <v>2</v>
      </c>
      <c r="E144" s="389">
        <v>2</v>
      </c>
      <c r="F144" s="362"/>
    </row>
    <row r="145" spans="1:6" s="83" customFormat="1">
      <c r="A145" s="18"/>
      <c r="B145" s="29"/>
      <c r="C145" s="352"/>
      <c r="D145" s="389"/>
      <c r="E145" s="392"/>
      <c r="F145" s="362"/>
    </row>
    <row r="146" spans="1:6" s="83" customFormat="1">
      <c r="A146" s="15"/>
      <c r="B146" s="29"/>
      <c r="C146" s="354"/>
      <c r="D146" s="354"/>
      <c r="E146" s="354"/>
      <c r="F146" s="362"/>
    </row>
    <row r="147" spans="1:6" s="83" customFormat="1">
      <c r="A147" s="18"/>
      <c r="B147" s="29"/>
      <c r="C147" s="354"/>
      <c r="D147" s="389"/>
      <c r="E147" s="392"/>
      <c r="F147" s="362"/>
    </row>
    <row r="148" spans="1:6" s="83" customFormat="1">
      <c r="A148" s="18"/>
      <c r="B148" s="44"/>
      <c r="C148" s="354"/>
      <c r="D148" s="391"/>
      <c r="E148" s="391"/>
      <c r="F148" s="362"/>
    </row>
    <row r="149" spans="1:6" s="83" customFormat="1">
      <c r="A149" s="17"/>
      <c r="B149" s="16"/>
      <c r="C149" s="391"/>
      <c r="D149" s="391"/>
      <c r="E149" s="391"/>
    </row>
    <row r="150" spans="1:6" s="83" customFormat="1">
      <c r="A150" s="18"/>
      <c r="B150" s="379"/>
      <c r="C150" s="354"/>
      <c r="D150" s="354"/>
      <c r="E150" s="391"/>
    </row>
    <row r="151" spans="1:6" s="83" customFormat="1">
      <c r="B151" s="379"/>
      <c r="C151" s="354"/>
      <c r="D151" s="391"/>
      <c r="E151" s="391"/>
    </row>
    <row r="152" spans="1:6" s="83" customFormat="1">
      <c r="B152" s="379"/>
      <c r="C152" s="354"/>
      <c r="D152" s="391"/>
      <c r="E152" s="391"/>
    </row>
    <row r="153" spans="1:6" s="83" customFormat="1">
      <c r="A153" s="18" t="s">
        <v>221</v>
      </c>
      <c r="B153" s="378" t="s">
        <v>249</v>
      </c>
      <c r="C153" s="354"/>
      <c r="D153" s="667" t="s">
        <v>255</v>
      </c>
      <c r="E153" s="668"/>
    </row>
    <row r="154" spans="1:6">
      <c r="B154" s="279"/>
      <c r="C154" s="388"/>
      <c r="D154" s="393">
        <v>1</v>
      </c>
      <c r="E154" s="393">
        <v>2</v>
      </c>
    </row>
    <row r="155" spans="1:6">
      <c r="A155" s="83"/>
      <c r="B155" s="669" t="s">
        <v>256</v>
      </c>
      <c r="C155" s="395" t="s">
        <v>253</v>
      </c>
      <c r="D155" s="389">
        <v>1</v>
      </c>
      <c r="E155" s="389">
        <v>2</v>
      </c>
    </row>
    <row r="156" spans="1:6">
      <c r="A156" s="83"/>
      <c r="B156" s="669"/>
      <c r="C156" s="395" t="s">
        <v>254</v>
      </c>
      <c r="D156" s="389">
        <v>1</v>
      </c>
      <c r="E156" s="389">
        <v>2</v>
      </c>
    </row>
    <row r="157" spans="1:6">
      <c r="B157" s="16"/>
      <c r="C157" s="390"/>
      <c r="D157" s="390"/>
      <c r="E157" s="390"/>
    </row>
    <row r="158" spans="1:6">
      <c r="B158" s="16"/>
      <c r="C158" s="390"/>
      <c r="D158" s="390"/>
      <c r="E158" s="390"/>
    </row>
    <row r="159" spans="1:6">
      <c r="B159" s="16"/>
      <c r="C159" s="390"/>
      <c r="D159" s="390"/>
      <c r="E159" s="390"/>
    </row>
    <row r="160" spans="1:6">
      <c r="B160" s="16"/>
      <c r="C160" s="390"/>
      <c r="D160" s="390"/>
      <c r="E160" s="390"/>
    </row>
    <row r="161" spans="1:7">
      <c r="B161" s="16"/>
      <c r="C161" s="390"/>
      <c r="D161" s="390"/>
      <c r="E161" s="390"/>
    </row>
    <row r="162" spans="1:7">
      <c r="B162" s="16"/>
      <c r="C162" s="390"/>
      <c r="D162" s="390"/>
      <c r="E162" s="390"/>
    </row>
    <row r="163" spans="1:7">
      <c r="B163" s="16"/>
      <c r="C163" s="390"/>
      <c r="D163" s="390"/>
      <c r="E163" s="390"/>
    </row>
    <row r="164" spans="1:7">
      <c r="B164" s="16"/>
      <c r="C164" s="390"/>
      <c r="D164" s="390"/>
      <c r="E164" s="390"/>
    </row>
    <row r="165" spans="1:7" s="83" customFormat="1">
      <c r="A165" s="17" t="s">
        <v>220</v>
      </c>
      <c r="B165" s="378" t="s">
        <v>250</v>
      </c>
      <c r="C165" s="354"/>
      <c r="D165" s="667" t="s">
        <v>255</v>
      </c>
      <c r="E165" s="668"/>
      <c r="F165" s="348"/>
      <c r="G165" s="348"/>
    </row>
    <row r="166" spans="1:7" s="83" customFormat="1">
      <c r="A166" s="18"/>
      <c r="B166" s="279"/>
      <c r="C166" s="388"/>
      <c r="D166" s="393">
        <v>1</v>
      </c>
      <c r="E166" s="393">
        <v>2</v>
      </c>
      <c r="G166" s="348"/>
    </row>
    <row r="167" spans="1:7" s="83" customFormat="1">
      <c r="A167" s="18"/>
      <c r="B167" s="669" t="s">
        <v>256</v>
      </c>
      <c r="C167" s="395" t="s">
        <v>253</v>
      </c>
      <c r="D167" s="389">
        <v>1</v>
      </c>
      <c r="E167" s="389">
        <v>2</v>
      </c>
      <c r="G167" s="348"/>
    </row>
    <row r="168" spans="1:7" s="83" customFormat="1">
      <c r="A168" s="15"/>
      <c r="B168" s="669"/>
      <c r="C168" s="395" t="s">
        <v>254</v>
      </c>
      <c r="D168" s="389">
        <v>2</v>
      </c>
      <c r="E168" s="389">
        <v>4</v>
      </c>
      <c r="F168" s="348"/>
      <c r="G168" s="348"/>
    </row>
    <row r="169" spans="1:7" s="83" customFormat="1">
      <c r="A169" s="18"/>
      <c r="B169" s="370"/>
      <c r="C169" s="370"/>
      <c r="D169" s="348"/>
      <c r="E169" s="25"/>
      <c r="F169" s="25"/>
    </row>
    <row r="170" spans="1:7" s="83" customFormat="1">
      <c r="A170" s="18"/>
      <c r="B170" s="380"/>
      <c r="C170" s="371"/>
      <c r="D170" s="372"/>
      <c r="E170" s="373"/>
      <c r="F170" s="374"/>
    </row>
    <row r="171" spans="1:7" s="83" customFormat="1">
      <c r="A171" s="17"/>
      <c r="B171" s="380"/>
      <c r="C171" s="371"/>
      <c r="D171" s="371"/>
      <c r="E171" s="375"/>
      <c r="F171" s="371"/>
    </row>
    <row r="172" spans="1:7" s="83" customFormat="1">
      <c r="A172" s="18"/>
      <c r="B172" s="371"/>
      <c r="C172" s="371"/>
      <c r="D172" s="371"/>
      <c r="E172" s="375"/>
      <c r="F172" s="371"/>
    </row>
    <row r="173" spans="1:7" s="83" customFormat="1">
      <c r="A173" s="15"/>
      <c r="B173" s="371"/>
      <c r="C173" s="371"/>
      <c r="D173" s="371"/>
      <c r="E173" s="375"/>
      <c r="F173" s="371"/>
    </row>
    <row r="174" spans="1:7" s="83" customFormat="1">
      <c r="A174" s="18"/>
      <c r="B174" s="348"/>
      <c r="C174" s="352"/>
      <c r="D174" s="352"/>
      <c r="E174" s="375"/>
      <c r="F174" s="371"/>
    </row>
    <row r="175" spans="1:7" s="83" customFormat="1">
      <c r="A175" s="18"/>
      <c r="B175" s="348"/>
      <c r="C175" s="352"/>
      <c r="D175" s="348"/>
      <c r="F175" s="352"/>
    </row>
  </sheetData>
  <mergeCells count="15">
    <mergeCell ref="D1:G1"/>
    <mergeCell ref="D8:G8"/>
    <mergeCell ref="D15:G15"/>
    <mergeCell ref="D22:G22"/>
    <mergeCell ref="B57:F58"/>
    <mergeCell ref="D116:E116"/>
    <mergeCell ref="B118:B119"/>
    <mergeCell ref="D165:E165"/>
    <mergeCell ref="B167:B168"/>
    <mergeCell ref="D141:E141"/>
    <mergeCell ref="B143:B144"/>
    <mergeCell ref="D128:E128"/>
    <mergeCell ref="B130:B131"/>
    <mergeCell ref="D153:E153"/>
    <mergeCell ref="B155:B156"/>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
  <sheetViews>
    <sheetView topLeftCell="A84" zoomScale="125" zoomScaleNormal="125" zoomScalePageLayoutView="125" workbookViewId="0">
      <selection activeCell="B97" sqref="B97:B104"/>
    </sheetView>
  </sheetViews>
  <sheetFormatPr baseColWidth="10" defaultColWidth="12.5" defaultRowHeight="16" customHeight="1" x14ac:dyDescent="0"/>
  <cols>
    <col min="1" max="1" width="4.5" style="408" customWidth="1"/>
    <col min="2" max="2" width="12.83203125" style="439" customWidth="1"/>
    <col min="3" max="6" width="11.33203125" style="413" customWidth="1"/>
    <col min="7" max="9" width="11.33203125" style="402" customWidth="1"/>
    <col min="10" max="10" width="1.5" style="402" customWidth="1"/>
    <col min="11" max="13" width="11.33203125" style="402" customWidth="1"/>
    <col min="14" max="15" width="9.83203125" style="402" customWidth="1"/>
    <col min="16" max="17" width="7.6640625" style="402" customWidth="1"/>
    <col min="18" max="18" width="8.83203125" style="402" customWidth="1"/>
    <col min="19" max="16384" width="12.5" style="402"/>
  </cols>
  <sheetData>
    <row r="1" spans="1:12" ht="15" thickBot="1">
      <c r="A1" s="396" t="s">
        <v>243</v>
      </c>
      <c r="B1" s="397" t="s">
        <v>257</v>
      </c>
      <c r="C1" s="398" t="s">
        <v>258</v>
      </c>
      <c r="D1" s="399" t="s">
        <v>99</v>
      </c>
      <c r="E1" s="399" t="s">
        <v>85</v>
      </c>
      <c r="F1" s="397" t="s">
        <v>100</v>
      </c>
      <c r="G1" s="400"/>
      <c r="H1" s="401"/>
      <c r="I1" s="401"/>
      <c r="J1" s="401"/>
      <c r="K1" s="401"/>
    </row>
    <row r="2" spans="1:12" ht="18" thickTop="1">
      <c r="A2" s="396"/>
      <c r="B2" s="403"/>
      <c r="C2" s="404" t="s">
        <v>259</v>
      </c>
      <c r="D2" s="405">
        <v>1</v>
      </c>
      <c r="E2" s="406">
        <v>4</v>
      </c>
      <c r="F2" s="406">
        <v>7</v>
      </c>
      <c r="G2" s="407"/>
      <c r="H2" s="401"/>
      <c r="I2" s="401"/>
      <c r="J2" s="401"/>
      <c r="K2" s="401"/>
    </row>
    <row r="3" spans="1:12" ht="17">
      <c r="B3" s="403">
        <v>1</v>
      </c>
      <c r="C3" s="409" t="s">
        <v>260</v>
      </c>
      <c r="D3" s="410">
        <v>3</v>
      </c>
      <c r="E3" s="411">
        <v>4</v>
      </c>
      <c r="F3" s="411">
        <v>7</v>
      </c>
      <c r="G3" s="412"/>
      <c r="H3" s="413"/>
      <c r="I3" s="413"/>
      <c r="J3" s="413"/>
    </row>
    <row r="4" spans="1:12" ht="18" thickBot="1">
      <c r="B4" s="414"/>
      <c r="C4" s="415" t="s">
        <v>261</v>
      </c>
      <c r="D4" s="416">
        <v>2</v>
      </c>
      <c r="E4" s="417">
        <f>AVERAGE(E2:E3)</f>
        <v>4</v>
      </c>
      <c r="F4" s="417">
        <f>AVERAGE(F2:F3)</f>
        <v>7</v>
      </c>
      <c r="G4" s="418">
        <f>AVERAGE(D4:F4)</f>
        <v>4.333333333333333</v>
      </c>
      <c r="H4" s="419" t="s">
        <v>262</v>
      </c>
      <c r="I4" s="419"/>
      <c r="J4" s="419"/>
    </row>
    <row r="5" spans="1:12" ht="17">
      <c r="B5" s="403"/>
      <c r="C5" s="404" t="s">
        <v>263</v>
      </c>
      <c r="D5" s="420">
        <v>3</v>
      </c>
      <c r="E5" s="421">
        <v>4</v>
      </c>
      <c r="F5" s="421">
        <v>3</v>
      </c>
      <c r="G5" s="422"/>
      <c r="H5" s="423"/>
      <c r="I5" s="423"/>
      <c r="J5" s="423"/>
    </row>
    <row r="6" spans="1:12" ht="17">
      <c r="A6" s="424"/>
      <c r="B6" s="403">
        <v>2</v>
      </c>
      <c r="C6" s="409" t="s">
        <v>264</v>
      </c>
      <c r="D6" s="410">
        <v>5</v>
      </c>
      <c r="E6" s="411">
        <v>4</v>
      </c>
      <c r="F6" s="411">
        <v>3</v>
      </c>
      <c r="G6" s="425"/>
      <c r="H6" s="426"/>
      <c r="I6" s="426"/>
      <c r="J6" s="426"/>
      <c r="K6" s="145"/>
    </row>
    <row r="7" spans="1:12" ht="18" thickBot="1">
      <c r="B7" s="414"/>
      <c r="C7" s="427" t="s">
        <v>265</v>
      </c>
      <c r="D7" s="416">
        <f>AVERAGE(D5:D6)</f>
        <v>4</v>
      </c>
      <c r="E7" s="417">
        <f>AVERAGE(E5:E6)</f>
        <v>4</v>
      </c>
      <c r="F7" s="417">
        <f>AVERAGE(F5:F6)</f>
        <v>3</v>
      </c>
      <c r="G7" s="418">
        <f>AVERAGE(D7:F7)</f>
        <v>3.6666666666666665</v>
      </c>
      <c r="H7" s="419" t="s">
        <v>266</v>
      </c>
      <c r="I7" s="419"/>
      <c r="J7" s="419"/>
      <c r="K7" s="145"/>
      <c r="L7" s="428"/>
    </row>
    <row r="8" spans="1:12" ht="17">
      <c r="A8" s="424"/>
      <c r="B8" s="403"/>
      <c r="C8" s="404" t="s">
        <v>267</v>
      </c>
      <c r="D8" s="429">
        <v>6</v>
      </c>
      <c r="E8" s="430">
        <v>4</v>
      </c>
      <c r="F8" s="431">
        <v>2</v>
      </c>
      <c r="G8" s="422"/>
      <c r="H8" s="432"/>
      <c r="I8" s="432"/>
      <c r="J8" s="432"/>
      <c r="K8" s="403"/>
      <c r="L8" s="428"/>
    </row>
    <row r="9" spans="1:12" ht="17">
      <c r="B9" s="403">
        <v>3</v>
      </c>
      <c r="C9" s="404" t="s">
        <v>268</v>
      </c>
      <c r="D9" s="410">
        <v>6</v>
      </c>
      <c r="E9" s="411">
        <v>4</v>
      </c>
      <c r="F9" s="433">
        <v>2</v>
      </c>
      <c r="G9" s="425"/>
      <c r="H9" s="423"/>
      <c r="I9" s="423"/>
      <c r="J9" s="423"/>
      <c r="K9" s="434"/>
      <c r="L9" s="428"/>
    </row>
    <row r="10" spans="1:12" ht="18" thickBot="1">
      <c r="B10" s="414"/>
      <c r="C10" s="427" t="s">
        <v>269</v>
      </c>
      <c r="D10" s="416">
        <f>AVERAGE(D8:D9)</f>
        <v>6</v>
      </c>
      <c r="E10" s="417">
        <f>AVERAGE(E8:E9)</f>
        <v>4</v>
      </c>
      <c r="F10" s="435">
        <f>AVERAGE(F8:F9)</f>
        <v>2</v>
      </c>
      <c r="G10" s="418">
        <f>AVERAGE(D10:F10)</f>
        <v>4</v>
      </c>
      <c r="H10" s="419" t="s">
        <v>270</v>
      </c>
      <c r="I10" s="419"/>
      <c r="J10" s="419"/>
      <c r="K10" s="401"/>
    </row>
    <row r="11" spans="1:12" ht="14">
      <c r="B11" s="403"/>
      <c r="C11" s="436"/>
      <c r="D11" s="437">
        <f>AVERAGE(D4,D7,D10)</f>
        <v>4</v>
      </c>
      <c r="E11" s="437">
        <f>AVERAGE(E4,E7,E10)</f>
        <v>4</v>
      </c>
      <c r="F11" s="437">
        <f>AVERAGE(F4,F7,F10)</f>
        <v>4</v>
      </c>
      <c r="G11" s="438"/>
      <c r="K11" s="401"/>
    </row>
    <row r="12" spans="1:12" ht="17">
      <c r="C12" s="440"/>
      <c r="D12" s="441" t="s">
        <v>271</v>
      </c>
      <c r="E12" s="442" t="s">
        <v>272</v>
      </c>
      <c r="F12" s="442" t="s">
        <v>273</v>
      </c>
      <c r="G12" s="434"/>
    </row>
    <row r="13" spans="1:12" ht="12">
      <c r="C13" s="402"/>
      <c r="D13" s="443"/>
      <c r="F13" s="434"/>
    </row>
    <row r="14" spans="1:12" ht="12">
      <c r="A14" s="396" t="s">
        <v>274</v>
      </c>
      <c r="B14" s="444" t="s">
        <v>275</v>
      </c>
      <c r="C14" s="444" t="s">
        <v>276</v>
      </c>
      <c r="D14" s="444" t="s">
        <v>277</v>
      </c>
      <c r="G14" s="434"/>
      <c r="K14" s="434"/>
    </row>
    <row r="15" spans="1:12" ht="12">
      <c r="A15" s="396"/>
      <c r="B15" s="434">
        <v>12</v>
      </c>
      <c r="C15" s="434">
        <v>4</v>
      </c>
      <c r="D15" s="434">
        <v>24</v>
      </c>
      <c r="G15" s="434"/>
      <c r="K15" s="434"/>
    </row>
    <row r="16" spans="1:12" ht="13" thickBot="1">
      <c r="A16" s="396"/>
      <c r="B16" s="413"/>
      <c r="G16" s="434"/>
      <c r="H16" s="434"/>
      <c r="I16" s="434"/>
      <c r="J16" s="434"/>
      <c r="K16" s="434"/>
    </row>
    <row r="17" spans="1:14" ht="13">
      <c r="A17" s="408" t="s">
        <v>278</v>
      </c>
      <c r="B17" s="445" t="s">
        <v>183</v>
      </c>
      <c r="C17" s="446">
        <f>B15*D15</f>
        <v>288</v>
      </c>
      <c r="G17" s="434"/>
      <c r="H17" s="434"/>
      <c r="I17" s="434"/>
      <c r="J17" s="434"/>
      <c r="K17" s="434"/>
    </row>
    <row r="18" spans="1:14" ht="15" customHeight="1">
      <c r="A18" s="396"/>
      <c r="B18" s="447" t="s">
        <v>279</v>
      </c>
      <c r="C18" s="448">
        <f>B15*C15</f>
        <v>48</v>
      </c>
      <c r="G18" s="434"/>
      <c r="H18" s="434"/>
      <c r="I18" s="434"/>
      <c r="J18" s="434"/>
      <c r="K18" s="434"/>
    </row>
    <row r="19" spans="1:14" ht="13" thickBot="1">
      <c r="A19" s="396"/>
      <c r="B19" s="449" t="s">
        <v>280</v>
      </c>
      <c r="C19" s="450">
        <f>B15*D15*C15</f>
        <v>1152</v>
      </c>
      <c r="G19" s="434"/>
      <c r="H19" s="434"/>
      <c r="I19" s="434"/>
      <c r="J19" s="434"/>
      <c r="K19" s="434"/>
    </row>
    <row r="20" spans="1:14" ht="12">
      <c r="G20" s="434"/>
      <c r="H20" s="401"/>
      <c r="I20" s="401"/>
      <c r="J20" s="401"/>
      <c r="K20" s="401"/>
    </row>
    <row r="21" spans="1:14" ht="14">
      <c r="B21" s="451"/>
      <c r="C21" s="451" t="s">
        <v>281</v>
      </c>
      <c r="D21" s="451" t="s">
        <v>282</v>
      </c>
      <c r="E21" s="451" t="s">
        <v>283</v>
      </c>
      <c r="F21" s="451" t="s">
        <v>352</v>
      </c>
    </row>
    <row r="22" spans="1:14" ht="14">
      <c r="B22" s="452" t="s">
        <v>284</v>
      </c>
      <c r="C22" s="453">
        <v>24</v>
      </c>
      <c r="D22" s="453">
        <v>25</v>
      </c>
      <c r="E22" s="453">
        <v>34</v>
      </c>
      <c r="F22" s="453">
        <v>20</v>
      </c>
      <c r="H22" s="413"/>
      <c r="I22" s="413"/>
      <c r="J22" s="413"/>
      <c r="K22" s="413"/>
      <c r="L22" s="413"/>
      <c r="M22" s="413"/>
      <c r="N22" s="413"/>
    </row>
    <row r="23" spans="1:14" ht="14">
      <c r="B23" s="452" t="s">
        <v>285</v>
      </c>
      <c r="C23" s="454">
        <f>C22*$C$17</f>
        <v>6912</v>
      </c>
      <c r="D23" s="454">
        <f>D22*$C$17</f>
        <v>7200</v>
      </c>
      <c r="E23" s="454">
        <f>E22*$C$17</f>
        <v>9792</v>
      </c>
      <c r="F23" s="454">
        <f>F22*$C$17</f>
        <v>5760</v>
      </c>
      <c r="G23" s="443">
        <f>SUM(C23:F23)</f>
        <v>29664</v>
      </c>
      <c r="H23" s="455" t="s">
        <v>286</v>
      </c>
      <c r="I23" s="455"/>
      <c r="J23" s="455"/>
      <c r="K23" s="456"/>
      <c r="L23" s="413"/>
      <c r="M23" s="413"/>
      <c r="N23" s="456"/>
    </row>
    <row r="24" spans="1:14" ht="13">
      <c r="C24" s="434"/>
      <c r="D24" s="434"/>
      <c r="E24" s="434"/>
      <c r="F24" s="434"/>
      <c r="G24" s="443">
        <f>C19</f>
        <v>1152</v>
      </c>
      <c r="H24" s="457" t="s">
        <v>287</v>
      </c>
      <c r="I24" s="457"/>
      <c r="J24" s="457"/>
      <c r="K24" s="413"/>
      <c r="L24" s="401"/>
      <c r="M24" s="413"/>
      <c r="N24" s="413"/>
    </row>
    <row r="25" spans="1:14" ht="13">
      <c r="D25" s="443"/>
      <c r="E25" s="443"/>
      <c r="F25" s="443"/>
      <c r="G25" s="443">
        <f>G23^2/C19</f>
        <v>763848</v>
      </c>
      <c r="H25" s="423" t="s">
        <v>288</v>
      </c>
      <c r="I25" s="423"/>
      <c r="J25" s="423"/>
      <c r="K25" s="413"/>
      <c r="L25" s="458"/>
      <c r="M25" s="413"/>
      <c r="N25" s="413"/>
    </row>
    <row r="26" spans="1:14" ht="12">
      <c r="B26" s="510" t="s">
        <v>355</v>
      </c>
      <c r="C26" s="48">
        <f>G23</f>
        <v>29664</v>
      </c>
      <c r="D26" s="460"/>
      <c r="E26" s="460"/>
      <c r="F26" s="434"/>
      <c r="G26" s="434"/>
      <c r="H26" s="413"/>
      <c r="I26" s="413"/>
      <c r="J26" s="413"/>
    </row>
    <row r="27" spans="1:14" ht="12">
      <c r="B27" s="310" t="s">
        <v>186</v>
      </c>
      <c r="C27" s="511">
        <f>(D34+G25)*B15</f>
        <v>15054816</v>
      </c>
      <c r="D27" s="461">
        <f>C27/B15-G25</f>
        <v>490720</v>
      </c>
      <c r="E27" s="434"/>
      <c r="F27" s="434"/>
      <c r="G27" s="434"/>
    </row>
    <row r="28" spans="1:14" ht="12">
      <c r="B28" s="310" t="s">
        <v>187</v>
      </c>
      <c r="C28" s="48">
        <f>SUMSQ(C23:F23)</f>
        <v>228676608</v>
      </c>
      <c r="D28" s="461">
        <f>C28/C17-G25</f>
        <v>30168</v>
      </c>
    </row>
    <row r="29" spans="1:14" ht="12">
      <c r="B29" s="310" t="s">
        <v>188</v>
      </c>
      <c r="C29" s="48">
        <f>(D36+G25)*C18</f>
        <v>58744704</v>
      </c>
      <c r="D29" s="461">
        <f>C29/C18-G25</f>
        <v>460000</v>
      </c>
      <c r="E29" s="413">
        <f>D27-(D28+D29)</f>
        <v>552</v>
      </c>
    </row>
    <row r="30" spans="1:14" ht="12">
      <c r="B30" s="310" t="s">
        <v>185</v>
      </c>
      <c r="C30" s="48">
        <f>D38+C27/B15</f>
        <v>1267240</v>
      </c>
      <c r="D30" s="461">
        <f>C30-C27/B15</f>
        <v>12672</v>
      </c>
      <c r="E30" s="401"/>
      <c r="F30" s="401"/>
      <c r="G30" s="401"/>
      <c r="H30" s="401"/>
      <c r="I30" s="401"/>
      <c r="J30" s="401"/>
      <c r="K30" s="401"/>
    </row>
    <row r="31" spans="1:14" ht="12">
      <c r="C31" s="443"/>
      <c r="D31" s="462"/>
      <c r="E31" s="463"/>
    </row>
    <row r="32" spans="1:14" ht="14" thickBot="1">
      <c r="A32" s="408" t="s">
        <v>289</v>
      </c>
      <c r="B32" s="514" t="s">
        <v>290</v>
      </c>
      <c r="C32" s="515" t="s">
        <v>42</v>
      </c>
      <c r="D32" s="516">
        <v>0.01</v>
      </c>
      <c r="E32" s="517"/>
      <c r="F32" s="459"/>
      <c r="G32" s="507"/>
      <c r="H32" s="487"/>
      <c r="I32" s="487"/>
      <c r="J32" s="487"/>
    </row>
    <row r="33" spans="2:13" ht="25">
      <c r="B33" s="518" t="s">
        <v>291</v>
      </c>
      <c r="C33" s="519" t="s">
        <v>239</v>
      </c>
      <c r="D33" s="519" t="s">
        <v>292</v>
      </c>
      <c r="E33" s="519" t="s">
        <v>237</v>
      </c>
      <c r="F33" s="468" t="s">
        <v>293</v>
      </c>
      <c r="G33" s="520" t="s">
        <v>294</v>
      </c>
      <c r="H33" s="521" t="s">
        <v>295</v>
      </c>
      <c r="I33" s="521"/>
      <c r="J33" s="521"/>
      <c r="K33" s="468" t="s">
        <v>296</v>
      </c>
      <c r="L33" s="520" t="s">
        <v>297</v>
      </c>
      <c r="M33" s="522" t="s">
        <v>298</v>
      </c>
    </row>
    <row r="34" spans="2:13" ht="13">
      <c r="B34" s="475" t="s">
        <v>299</v>
      </c>
      <c r="C34" s="476">
        <f>(D15*C15)-1</f>
        <v>95</v>
      </c>
      <c r="D34" s="476">
        <f>D35+D36+D37</f>
        <v>490720</v>
      </c>
      <c r="E34" s="477"/>
      <c r="F34" s="478"/>
      <c r="G34" s="477"/>
      <c r="H34" s="478"/>
      <c r="I34" s="478"/>
      <c r="J34" s="478"/>
      <c r="M34" s="479"/>
    </row>
    <row r="35" spans="2:13" ht="13">
      <c r="B35" s="508" t="s">
        <v>353</v>
      </c>
      <c r="C35" s="481">
        <f>C15-1</f>
        <v>3</v>
      </c>
      <c r="D35" s="482">
        <f>C28/C17-G25</f>
        <v>30168</v>
      </c>
      <c r="E35" s="482">
        <f>D35/C35</f>
        <v>10056</v>
      </c>
      <c r="F35" s="484">
        <f>E35/E37</f>
        <v>1257</v>
      </c>
      <c r="G35" s="484">
        <f>FINV($D$32, C35,C37)</f>
        <v>4.0788429899647269</v>
      </c>
      <c r="H35" s="478" t="str">
        <f>IF(F35&gt;G35," Reject H0", " Don't reject H0")</f>
        <v xml:space="preserve"> Reject H0</v>
      </c>
      <c r="I35" s="478"/>
      <c r="J35" s="478"/>
      <c r="K35" s="485">
        <f>E35/$E$38</f>
        <v>838</v>
      </c>
      <c r="L35" s="485">
        <f>FINV($D$32,C35,$C$38)</f>
        <v>3.8002019419622495</v>
      </c>
      <c r="M35" s="486" t="str">
        <f>IF(K35&gt;L35," Reject H0", " Don't reject H0")</f>
        <v xml:space="preserve"> Reject H0</v>
      </c>
    </row>
    <row r="36" spans="2:13" ht="13">
      <c r="B36" s="508" t="s">
        <v>354</v>
      </c>
      <c r="C36" s="481">
        <f>D15-1</f>
        <v>23</v>
      </c>
      <c r="D36" s="482">
        <f>E36*C36</f>
        <v>460000</v>
      </c>
      <c r="E36" s="482">
        <v>20000</v>
      </c>
      <c r="F36" s="484">
        <f>E36/E38</f>
        <v>1666.6666666666667</v>
      </c>
      <c r="G36" s="484">
        <f>FINV($D$32, C36,C38)</f>
        <v>1.8280892909212108</v>
      </c>
      <c r="H36" s="478" t="str">
        <f>IF(F36&gt;G36," Reject H0", " Don't reject H0")</f>
        <v xml:space="preserve"> Reject H0</v>
      </c>
      <c r="I36" s="478"/>
      <c r="J36" s="478"/>
      <c r="K36" s="485">
        <f>E36/$E$38</f>
        <v>1666.6666666666667</v>
      </c>
      <c r="L36" s="485">
        <f>FINV($D$32,C36,$C$38)</f>
        <v>1.8280892909212108</v>
      </c>
      <c r="M36" s="486" t="str">
        <f>IF(K36&gt;L36," Reject H0", " Don't reject H0")</f>
        <v xml:space="preserve"> Reject H0</v>
      </c>
    </row>
    <row r="37" spans="2:13" ht="13">
      <c r="B37" s="480" t="s">
        <v>302</v>
      </c>
      <c r="C37" s="481">
        <f>C35*C36</f>
        <v>69</v>
      </c>
      <c r="D37" s="482">
        <f>E37*C37</f>
        <v>552</v>
      </c>
      <c r="E37" s="482">
        <v>8</v>
      </c>
      <c r="F37" s="484">
        <f>E37/E38</f>
        <v>0.66666666666666663</v>
      </c>
      <c r="G37" s="484">
        <f>FINV($D$32, C37,C38)</f>
        <v>1.4599189367694834</v>
      </c>
      <c r="H37" s="478" t="str">
        <f>IF(F37&gt;G37," Reject H0", " Don't reject H0")</f>
        <v xml:space="preserve"> Don't reject H0</v>
      </c>
      <c r="I37" s="478"/>
      <c r="J37" s="478"/>
      <c r="K37" s="485">
        <f>E37/$E$38</f>
        <v>0.66666666666666663</v>
      </c>
      <c r="L37" s="485">
        <f>FINV($D$32,C37,$C$38)</f>
        <v>1.4599189367694834</v>
      </c>
      <c r="M37" s="486" t="str">
        <f>IF(K37&gt;L37," Reject H0", " Don't reject H0")</f>
        <v xml:space="preserve"> Don't reject H0</v>
      </c>
    </row>
    <row r="38" spans="2:13" ht="13">
      <c r="B38" s="475" t="s">
        <v>303</v>
      </c>
      <c r="C38" s="476">
        <f>(B15-1)*C15*D15</f>
        <v>1056</v>
      </c>
      <c r="D38" s="476">
        <f>C38*E38</f>
        <v>12672</v>
      </c>
      <c r="E38" s="476">
        <v>12</v>
      </c>
      <c r="F38" s="459"/>
      <c r="G38" s="482"/>
      <c r="H38" s="487"/>
      <c r="I38" s="487"/>
      <c r="J38" s="487"/>
      <c r="M38" s="479"/>
    </row>
    <row r="39" spans="2:13" ht="13">
      <c r="B39" s="523" t="s">
        <v>304</v>
      </c>
      <c r="C39" s="507">
        <f>C34+C38</f>
        <v>1151</v>
      </c>
      <c r="D39" s="507">
        <f>D34+D38</f>
        <v>503392</v>
      </c>
      <c r="E39" s="495"/>
      <c r="F39" s="513"/>
      <c r="G39" s="507"/>
      <c r="H39" s="487"/>
      <c r="I39" s="487"/>
      <c r="J39" s="487"/>
      <c r="M39" s="479"/>
    </row>
    <row r="40" spans="2:13" ht="13">
      <c r="B40" s="523"/>
      <c r="C40" s="507"/>
      <c r="D40" s="507"/>
      <c r="E40" s="495"/>
      <c r="F40" s="513"/>
      <c r="G40" s="507"/>
      <c r="H40" s="487"/>
      <c r="I40" s="487"/>
      <c r="J40" s="487"/>
      <c r="M40" s="479"/>
    </row>
    <row r="41" spans="2:13" ht="13">
      <c r="B41" s="524" t="s">
        <v>357</v>
      </c>
      <c r="C41" s="507"/>
      <c r="D41" s="507"/>
      <c r="E41" s="495"/>
      <c r="F41" s="513"/>
      <c r="G41" s="507"/>
      <c r="H41" s="487"/>
      <c r="I41" s="487"/>
      <c r="J41" s="487"/>
      <c r="M41" s="479"/>
    </row>
    <row r="42" spans="2:13" ht="13">
      <c r="B42" s="524" t="s">
        <v>360</v>
      </c>
      <c r="C42" s="507"/>
      <c r="D42" s="507"/>
      <c r="E42" s="495"/>
      <c r="F42" s="513"/>
      <c r="G42" s="507"/>
      <c r="H42" s="487"/>
      <c r="I42" s="487"/>
      <c r="J42" s="487"/>
      <c r="M42" s="479"/>
    </row>
    <row r="43" spans="2:13" ht="13">
      <c r="B43" s="508" t="s">
        <v>358</v>
      </c>
      <c r="C43" s="482">
        <f>C30-C27/B15</f>
        <v>12672</v>
      </c>
      <c r="D43" s="507"/>
      <c r="E43" s="495"/>
      <c r="F43" s="513"/>
      <c r="G43" s="507"/>
      <c r="H43" s="487"/>
      <c r="I43" s="487"/>
      <c r="J43" s="487"/>
      <c r="M43" s="479"/>
    </row>
    <row r="44" spans="2:13" ht="15" customHeight="1">
      <c r="B44" s="525" t="s">
        <v>359</v>
      </c>
      <c r="C44" s="482">
        <f>C43/C38</f>
        <v>12</v>
      </c>
      <c r="D44" s="507"/>
      <c r="E44" s="495"/>
      <c r="F44" s="513"/>
      <c r="G44" s="507"/>
      <c r="H44" s="487"/>
      <c r="I44" s="487"/>
      <c r="J44" s="487"/>
      <c r="M44" s="479"/>
    </row>
    <row r="45" spans="2:13" ht="15" customHeight="1" thickBot="1">
      <c r="B45" s="526" t="s">
        <v>361</v>
      </c>
      <c r="C45" s="502"/>
      <c r="D45" s="488"/>
      <c r="E45" s="489"/>
      <c r="F45" s="490"/>
      <c r="G45" s="488"/>
      <c r="H45" s="491"/>
      <c r="I45" s="491"/>
      <c r="J45" s="491"/>
      <c r="K45" s="492"/>
      <c r="L45" s="492"/>
      <c r="M45" s="493"/>
    </row>
    <row r="46" spans="2:13" ht="15" customHeight="1">
      <c r="C46" s="482"/>
      <c r="D46" s="507"/>
      <c r="E46" s="495"/>
      <c r="F46" s="513"/>
      <c r="G46" s="507"/>
      <c r="H46" s="487"/>
      <c r="I46" s="487"/>
      <c r="J46" s="487"/>
    </row>
    <row r="47" spans="2:13" ht="13">
      <c r="B47" s="507"/>
      <c r="C47" s="507"/>
      <c r="D47" s="507"/>
      <c r="E47" s="495"/>
      <c r="F47" s="513"/>
      <c r="G47" s="507"/>
      <c r="H47" s="487"/>
      <c r="I47" s="487"/>
      <c r="J47" s="487"/>
    </row>
    <row r="48" spans="2:13" ht="12">
      <c r="C48" s="443"/>
      <c r="D48" s="462"/>
      <c r="E48" s="463"/>
    </row>
    <row r="49" spans="1:13" ht="13">
      <c r="A49" s="408" t="s">
        <v>305</v>
      </c>
      <c r="B49" s="459" t="s">
        <v>306</v>
      </c>
      <c r="C49" s="494">
        <v>0.95</v>
      </c>
      <c r="D49" s="423"/>
    </row>
    <row r="50" spans="1:13" ht="13">
      <c r="B50" s="459" t="s">
        <v>307</v>
      </c>
      <c r="C50" s="495">
        <f>SQRT(E37/C17)</f>
        <v>0.16666666666666666</v>
      </c>
    </row>
    <row r="51" spans="1:13" ht="14" thickBot="1">
      <c r="B51" s="459" t="s">
        <v>308</v>
      </c>
      <c r="C51" s="495">
        <f>TINV(1-C49,C37)</f>
        <v>1.9949454151072357</v>
      </c>
      <c r="D51" s="496"/>
      <c r="E51" s="423"/>
    </row>
    <row r="52" spans="1:13" ht="14" thickBot="1">
      <c r="B52" s="497" t="s">
        <v>309</v>
      </c>
      <c r="C52" s="498">
        <f>C50*C51</f>
        <v>0.33249090251787261</v>
      </c>
      <c r="D52" s="462"/>
    </row>
    <row r="53" spans="1:13" ht="12">
      <c r="C53" s="439"/>
      <c r="D53" s="462"/>
    </row>
    <row r="54" spans="1:13" ht="12">
      <c r="C54" s="439"/>
      <c r="D54" s="462"/>
    </row>
    <row r="55" spans="1:13" ht="12">
      <c r="A55" s="396" t="s">
        <v>310</v>
      </c>
      <c r="B55" s="423" t="s">
        <v>311</v>
      </c>
      <c r="D55" s="434">
        <f>B15</f>
        <v>12</v>
      </c>
      <c r="E55" s="423" t="s">
        <v>312</v>
      </c>
    </row>
    <row r="56" spans="1:13" ht="12">
      <c r="A56" s="396"/>
      <c r="B56" s="423" t="s">
        <v>313</v>
      </c>
      <c r="D56" s="434"/>
      <c r="E56" s="423"/>
      <c r="F56" s="434">
        <f>D15</f>
        <v>24</v>
      </c>
      <c r="G56" s="402" t="s">
        <v>314</v>
      </c>
    </row>
    <row r="57" spans="1:13" ht="13" thickBot="1">
      <c r="C57" s="443"/>
      <c r="D57" s="462"/>
    </row>
    <row r="58" spans="1:13" ht="13">
      <c r="A58" s="408" t="s">
        <v>289</v>
      </c>
      <c r="B58" s="464" t="s">
        <v>290</v>
      </c>
      <c r="C58" s="465" t="s">
        <v>42</v>
      </c>
      <c r="D58" s="466">
        <v>0.01</v>
      </c>
      <c r="E58" s="467"/>
      <c r="F58" s="468"/>
      <c r="G58" s="469"/>
      <c r="H58" s="499"/>
      <c r="I58" s="487"/>
      <c r="J58" s="487"/>
    </row>
    <row r="59" spans="1:13" ht="13">
      <c r="B59" s="470" t="s">
        <v>291</v>
      </c>
      <c r="C59" s="471" t="s">
        <v>239</v>
      </c>
      <c r="D59" s="471" t="s">
        <v>292</v>
      </c>
      <c r="E59" s="471" t="s">
        <v>237</v>
      </c>
      <c r="F59" s="472" t="s">
        <v>315</v>
      </c>
      <c r="G59" s="473" t="s">
        <v>316</v>
      </c>
      <c r="H59" s="474" t="s">
        <v>317</v>
      </c>
      <c r="I59" s="500"/>
      <c r="J59" s="500"/>
      <c r="K59" s="459"/>
      <c r="L59" s="482"/>
      <c r="M59" s="500"/>
    </row>
    <row r="60" spans="1:13" ht="13">
      <c r="B60" s="475" t="s">
        <v>299</v>
      </c>
      <c r="C60" s="476">
        <f>C34</f>
        <v>95</v>
      </c>
      <c r="D60" s="512">
        <f>D34/$D$55</f>
        <v>40893.333333333336</v>
      </c>
      <c r="E60" s="477"/>
      <c r="F60" s="478"/>
      <c r="G60" s="477"/>
      <c r="H60" s="486"/>
      <c r="I60" s="478"/>
      <c r="J60" s="478"/>
    </row>
    <row r="61" spans="1:13" ht="13">
      <c r="B61" s="480" t="s">
        <v>300</v>
      </c>
      <c r="C61" s="482">
        <f>C35</f>
        <v>3</v>
      </c>
      <c r="D61" s="484">
        <f>D35/$D$55</f>
        <v>2514</v>
      </c>
      <c r="E61" s="484">
        <f>D61/C61</f>
        <v>838</v>
      </c>
      <c r="F61" s="483">
        <f>E61/$E$63</f>
        <v>1257</v>
      </c>
      <c r="G61" s="484">
        <f>FINV(D58,C61,C63)</f>
        <v>4.0788429899647269</v>
      </c>
      <c r="H61" s="486" t="str">
        <f>IF(F61&gt;G61," Reject H0", " Don't reject H0")</f>
        <v xml:space="preserve"> Reject H0</v>
      </c>
      <c r="I61" s="478"/>
      <c r="J61" s="478"/>
      <c r="K61" s="439"/>
      <c r="L61" s="485"/>
      <c r="M61" s="478"/>
    </row>
    <row r="62" spans="1:13" ht="13">
      <c r="B62" s="480" t="s">
        <v>301</v>
      </c>
      <c r="C62" s="482">
        <f>C36</f>
        <v>23</v>
      </c>
      <c r="D62" s="484">
        <f>D36/$D$55</f>
        <v>38333.333333333336</v>
      </c>
      <c r="E62" s="484">
        <f>D62/C62</f>
        <v>1666.6666666666667</v>
      </c>
      <c r="F62" s="483"/>
      <c r="G62" s="484"/>
      <c r="H62" s="486"/>
      <c r="I62" s="478"/>
      <c r="J62" s="478"/>
      <c r="K62" s="439"/>
      <c r="L62" s="485"/>
      <c r="M62" s="478"/>
    </row>
    <row r="63" spans="1:13" s="86" customFormat="1" ht="14" thickBot="1">
      <c r="A63" s="408"/>
      <c r="B63" s="501" t="s">
        <v>302</v>
      </c>
      <c r="C63" s="502">
        <f>C37</f>
        <v>69</v>
      </c>
      <c r="D63" s="504">
        <f>D37/$D$55</f>
        <v>46</v>
      </c>
      <c r="E63" s="504">
        <f>D63/C63</f>
        <v>0.66666666666666663</v>
      </c>
      <c r="F63" s="503"/>
      <c r="G63" s="504"/>
      <c r="H63" s="505"/>
      <c r="I63" s="478"/>
      <c r="J63" s="478"/>
      <c r="K63" s="439"/>
      <c r="L63" s="485"/>
      <c r="M63" s="478"/>
    </row>
    <row r="64" spans="1:13" s="86" customFormat="1" ht="13">
      <c r="A64" s="408"/>
      <c r="B64" s="439"/>
      <c r="C64" s="439"/>
      <c r="D64" s="460"/>
      <c r="E64" s="72"/>
      <c r="F64" s="72"/>
    </row>
    <row r="65" spans="1:13" s="86" customFormat="1" ht="13">
      <c r="A65" s="408" t="s">
        <v>305</v>
      </c>
      <c r="B65" s="459" t="s">
        <v>306</v>
      </c>
      <c r="C65" s="494">
        <v>0.95</v>
      </c>
      <c r="D65" s="462"/>
      <c r="E65" s="72"/>
      <c r="F65" s="72"/>
    </row>
    <row r="66" spans="1:13" s="86" customFormat="1" ht="13">
      <c r="A66" s="408"/>
      <c r="B66" s="459" t="s">
        <v>307</v>
      </c>
      <c r="C66" s="495">
        <f>SQRT(E63/F56)</f>
        <v>0.16666666666666666</v>
      </c>
      <c r="D66" s="462"/>
      <c r="E66" s="72"/>
      <c r="F66" s="72"/>
    </row>
    <row r="67" spans="1:13" s="86" customFormat="1" ht="14" thickBot="1">
      <c r="A67" s="408"/>
      <c r="B67" s="459" t="s">
        <v>308</v>
      </c>
      <c r="C67" s="495">
        <f>TINV(1-C65,C63)</f>
        <v>1.9949454151072357</v>
      </c>
      <c r="D67" s="462"/>
      <c r="E67" s="72"/>
      <c r="F67" s="72"/>
    </row>
    <row r="68" spans="1:13" s="86" customFormat="1" ht="14" thickBot="1">
      <c r="A68" s="408"/>
      <c r="B68" s="497" t="s">
        <v>309</v>
      </c>
      <c r="C68" s="498">
        <f>C66*C67</f>
        <v>0.33249090251787261</v>
      </c>
      <c r="D68" s="72"/>
      <c r="E68" s="72"/>
      <c r="F68" s="72"/>
    </row>
    <row r="69" spans="1:13" s="86" customFormat="1" ht="13">
      <c r="A69" s="408"/>
      <c r="B69" s="439"/>
      <c r="F69" s="72"/>
      <c r="G69" s="402"/>
      <c r="H69" s="402"/>
      <c r="I69" s="402"/>
      <c r="J69" s="402"/>
      <c r="K69" s="402"/>
      <c r="L69" s="402"/>
      <c r="M69" s="402"/>
    </row>
    <row r="70" spans="1:13" s="86" customFormat="1" ht="13">
      <c r="A70" s="408" t="s">
        <v>318</v>
      </c>
      <c r="B70" s="459" t="s">
        <v>306</v>
      </c>
      <c r="C70" s="494">
        <v>0.95</v>
      </c>
      <c r="D70" s="413"/>
      <c r="E70" s="413"/>
      <c r="F70" s="413"/>
      <c r="G70" s="413"/>
      <c r="H70" s="72"/>
      <c r="I70" s="72"/>
      <c r="J70" s="72"/>
    </row>
    <row r="71" spans="1:13" s="86" customFormat="1" ht="13">
      <c r="A71" s="408"/>
      <c r="B71" s="459" t="s">
        <v>319</v>
      </c>
      <c r="C71" s="506">
        <f>D62+D63</f>
        <v>38379.333333333336</v>
      </c>
      <c r="D71" s="413"/>
      <c r="E71" s="413"/>
      <c r="F71" s="413"/>
      <c r="G71" s="413"/>
      <c r="H71" s="72"/>
      <c r="I71" s="72"/>
      <c r="J71" s="72"/>
    </row>
    <row r="72" spans="1:13" s="86" customFormat="1" ht="13">
      <c r="A72" s="408"/>
      <c r="B72" s="459" t="s">
        <v>320</v>
      </c>
      <c r="C72" s="507">
        <f>C62+C63</f>
        <v>92</v>
      </c>
      <c r="D72" s="413"/>
      <c r="E72" s="413"/>
      <c r="F72" s="413"/>
      <c r="G72" s="413"/>
      <c r="H72" s="72"/>
      <c r="I72" s="72"/>
      <c r="J72" s="72"/>
    </row>
    <row r="73" spans="1:13" s="86" customFormat="1" ht="13">
      <c r="A73" s="408"/>
      <c r="B73" s="459" t="s">
        <v>321</v>
      </c>
      <c r="C73" s="495">
        <f>C71/C72</f>
        <v>417.16666666666669</v>
      </c>
      <c r="D73" s="413"/>
      <c r="E73" s="413"/>
      <c r="F73" s="413"/>
      <c r="G73" s="413"/>
      <c r="H73" s="72"/>
      <c r="I73" s="72"/>
      <c r="J73" s="72"/>
    </row>
    <row r="74" spans="1:13" s="86" customFormat="1" ht="13">
      <c r="A74" s="408"/>
      <c r="B74" s="459" t="s">
        <v>322</v>
      </c>
      <c r="C74" s="507">
        <f>F56</f>
        <v>24</v>
      </c>
      <c r="D74" s="434"/>
      <c r="E74" s="458"/>
      <c r="F74" s="434"/>
      <c r="G74" s="72"/>
      <c r="H74" s="11"/>
      <c r="I74" s="11"/>
      <c r="J74" s="11"/>
    </row>
    <row r="75" spans="1:13" s="86" customFormat="1" ht="13">
      <c r="A75" s="408"/>
      <c r="B75" s="459" t="s">
        <v>307</v>
      </c>
      <c r="C75" s="495">
        <f>SQRT(C73/C74)</f>
        <v>4.16916591711633</v>
      </c>
      <c r="D75" s="434"/>
      <c r="E75" s="458"/>
      <c r="F75" s="434"/>
      <c r="G75" s="72"/>
      <c r="H75" s="11"/>
      <c r="I75" s="11"/>
      <c r="J75" s="11"/>
    </row>
    <row r="76" spans="1:13" s="86" customFormat="1" ht="14" thickBot="1">
      <c r="A76" s="408"/>
      <c r="B76" s="459" t="s">
        <v>308</v>
      </c>
      <c r="C76" s="495">
        <f>TINV(1-C65,C72)</f>
        <v>1.9860863169511298</v>
      </c>
      <c r="D76" s="434"/>
      <c r="E76" s="458"/>
      <c r="F76" s="434"/>
      <c r="G76" s="72"/>
      <c r="H76" s="11"/>
      <c r="I76" s="11"/>
      <c r="J76" s="11"/>
    </row>
    <row r="77" spans="1:13" s="86" customFormat="1" ht="14" thickBot="1">
      <c r="A77" s="408"/>
      <c r="B77" s="497" t="s">
        <v>309</v>
      </c>
      <c r="C77" s="498">
        <f>C75*C76</f>
        <v>8.2803233810837504</v>
      </c>
      <c r="D77" s="434"/>
      <c r="E77" s="458"/>
      <c r="F77" s="434"/>
      <c r="G77" s="72"/>
      <c r="H77" s="11"/>
      <c r="I77" s="11"/>
      <c r="J77" s="11"/>
    </row>
    <row r="78" spans="1:13" s="86" customFormat="1" ht="13">
      <c r="A78" s="408"/>
      <c r="B78" s="439"/>
      <c r="C78" s="402"/>
      <c r="D78" s="434"/>
      <c r="E78" s="458"/>
      <c r="F78" s="434"/>
      <c r="G78" s="72"/>
      <c r="H78" s="11"/>
      <c r="I78" s="11"/>
      <c r="J78" s="11"/>
    </row>
    <row r="79" spans="1:13" s="86" customFormat="1" ht="13">
      <c r="A79" s="408"/>
      <c r="B79" s="439"/>
      <c r="C79" s="402"/>
      <c r="D79" s="434"/>
      <c r="E79" s="458"/>
      <c r="F79" s="434"/>
      <c r="G79" s="72"/>
      <c r="H79" s="11"/>
      <c r="I79" s="11"/>
      <c r="J79" s="11"/>
    </row>
    <row r="80" spans="1:13" s="86" customFormat="1" ht="13">
      <c r="A80" s="396"/>
      <c r="B80" s="439"/>
      <c r="C80" s="402"/>
      <c r="D80" s="434"/>
      <c r="E80" s="458"/>
      <c r="F80" s="434"/>
      <c r="G80" s="72"/>
      <c r="H80" s="11"/>
      <c r="I80" s="11"/>
      <c r="J80" s="11"/>
    </row>
    <row r="81" spans="1:20" s="86" customFormat="1" ht="60">
      <c r="A81" s="396" t="s">
        <v>323</v>
      </c>
      <c r="B81" s="530" t="s">
        <v>281</v>
      </c>
      <c r="C81" s="531" t="s">
        <v>324</v>
      </c>
      <c r="D81" s="531" t="s">
        <v>325</v>
      </c>
      <c r="E81" s="531" t="s">
        <v>326</v>
      </c>
      <c r="F81" s="532" t="s">
        <v>327</v>
      </c>
      <c r="G81" s="533" t="s">
        <v>328</v>
      </c>
      <c r="H81" s="531" t="s">
        <v>329</v>
      </c>
      <c r="I81" s="531" t="s">
        <v>388</v>
      </c>
      <c r="J81" s="578"/>
      <c r="K81" s="577" t="s">
        <v>387</v>
      </c>
      <c r="L81" s="574" t="s">
        <v>364</v>
      </c>
      <c r="M81" s="574" t="s">
        <v>382</v>
      </c>
    </row>
    <row r="82" spans="1:20" s="86" customFormat="1" ht="17" customHeight="1">
      <c r="A82" s="408"/>
      <c r="B82" s="537" t="s">
        <v>340</v>
      </c>
      <c r="C82" s="538">
        <v>20.100000000000001</v>
      </c>
      <c r="D82" s="539">
        <v>154</v>
      </c>
      <c r="E82" s="539">
        <v>2756</v>
      </c>
      <c r="F82" s="540">
        <f t="shared" ref="F82:F92" si="0">C82*$C$107+$C$108</f>
        <v>95.961315259380697</v>
      </c>
      <c r="G82" s="541">
        <f t="shared" ref="G82:G92" si="1">D82-F82</f>
        <v>58.038684740619303</v>
      </c>
      <c r="H82" s="542">
        <f t="shared" ref="H82:H92" si="2">(D82/E82)*1000</f>
        <v>55.878084179970969</v>
      </c>
      <c r="I82" s="12">
        <f>(C82/E82)*1000</f>
        <v>7.2931785195936145</v>
      </c>
      <c r="J82" s="542"/>
      <c r="K82" s="575" t="s">
        <v>383</v>
      </c>
      <c r="L82" s="576">
        <f>PEARSON(C82:C92,D82:D92)</f>
        <v>0.44035781124471518</v>
      </c>
      <c r="M82" s="576">
        <f>RSQ(C82:C92,D82:D92)</f>
        <v>0.19391500192423616</v>
      </c>
      <c r="N82" s="87"/>
    </row>
    <row r="83" spans="1:20" ht="17" customHeight="1">
      <c r="B83" s="537" t="s">
        <v>339</v>
      </c>
      <c r="C83" s="538">
        <v>11.6</v>
      </c>
      <c r="D83" s="539">
        <v>116</v>
      </c>
      <c r="E83" s="539">
        <v>2009</v>
      </c>
      <c r="F83" s="540">
        <f t="shared" si="0"/>
        <v>75.696015766021091</v>
      </c>
      <c r="G83" s="541">
        <f t="shared" si="1"/>
        <v>40.303984233978909</v>
      </c>
      <c r="H83" s="542">
        <f t="shared" si="2"/>
        <v>57.740169238427079</v>
      </c>
      <c r="I83" s="12">
        <f t="shared" ref="I83:I92" si="3">(C83/E83)*1000</f>
        <v>5.7740169238427077</v>
      </c>
      <c r="J83" s="542"/>
      <c r="K83" s="575" t="s">
        <v>384</v>
      </c>
      <c r="L83" s="576">
        <f>PEARSON(C82:C92,F82:F92)</f>
        <v>1</v>
      </c>
      <c r="M83" s="576">
        <f>RSQ(C82:C92,F82:F92)</f>
        <v>1</v>
      </c>
    </row>
    <row r="84" spans="1:20" ht="17" customHeight="1">
      <c r="B84" s="537" t="s">
        <v>338</v>
      </c>
      <c r="C84" s="538">
        <v>17.600000000000001</v>
      </c>
      <c r="D84" s="539">
        <v>62</v>
      </c>
      <c r="E84" s="539">
        <v>1411</v>
      </c>
      <c r="F84" s="540">
        <f t="shared" si="0"/>
        <v>90.000933055451412</v>
      </c>
      <c r="G84" s="541">
        <f t="shared" si="1"/>
        <v>-28.000933055451412</v>
      </c>
      <c r="H84" s="542">
        <f t="shared" si="2"/>
        <v>43.940467753366406</v>
      </c>
      <c r="I84" s="12">
        <f t="shared" si="3"/>
        <v>12.473423104181434</v>
      </c>
      <c r="J84" s="542"/>
      <c r="K84" s="575" t="s">
        <v>385</v>
      </c>
      <c r="L84" s="576">
        <f>PEARSON(C82:C92,G82:G92)</f>
        <v>-3.1547886406162801E-17</v>
      </c>
      <c r="M84" s="576">
        <f>RSQ(C82:C92,G82:G92)</f>
        <v>9.9526913669615123E-34</v>
      </c>
    </row>
    <row r="85" spans="1:20" ht="17" customHeight="1">
      <c r="B85" s="537" t="s">
        <v>337</v>
      </c>
      <c r="C85" s="538">
        <v>10.3</v>
      </c>
      <c r="D85" s="539">
        <v>44</v>
      </c>
      <c r="E85" s="539">
        <v>1033</v>
      </c>
      <c r="F85" s="540">
        <f t="shared" si="0"/>
        <v>72.596617019977856</v>
      </c>
      <c r="G85" s="541">
        <f t="shared" si="1"/>
        <v>-28.596617019977856</v>
      </c>
      <c r="H85" s="542">
        <f t="shared" si="2"/>
        <v>42.594385285575989</v>
      </c>
      <c r="I85" s="12">
        <f t="shared" si="3"/>
        <v>9.9709583736689265</v>
      </c>
      <c r="J85" s="542"/>
      <c r="K85" s="575" t="s">
        <v>386</v>
      </c>
      <c r="L85" s="576">
        <f>PEARSON(C82:C92,H82:H92)</f>
        <v>-0.54346843798044975</v>
      </c>
      <c r="M85" s="576">
        <f>RSQ(C82:C92,H82:H92)</f>
        <v>0.29535794308090985</v>
      </c>
    </row>
    <row r="86" spans="1:20" ht="17" customHeight="1">
      <c r="B86" s="537" t="s">
        <v>336</v>
      </c>
      <c r="C86" s="538">
        <v>13.6</v>
      </c>
      <c r="D86" s="539">
        <v>64</v>
      </c>
      <c r="E86" s="539">
        <v>988</v>
      </c>
      <c r="F86" s="540">
        <f t="shared" si="0"/>
        <v>80.464321529164522</v>
      </c>
      <c r="G86" s="541">
        <f t="shared" si="1"/>
        <v>-16.464321529164522</v>
      </c>
      <c r="H86" s="542">
        <f t="shared" si="2"/>
        <v>64.777327935222672</v>
      </c>
      <c r="I86" s="12">
        <f t="shared" si="3"/>
        <v>13.765182186234819</v>
      </c>
      <c r="J86" s="542"/>
      <c r="K86" s="575" t="s">
        <v>389</v>
      </c>
      <c r="L86" s="576">
        <f>PEARSON(I82:I92,H82:H92)</f>
        <v>1.0549102992981381E-2</v>
      </c>
      <c r="M86" s="576">
        <f>RSQ(C83:C93,H83:H93)</f>
        <v>0.27094417045843688</v>
      </c>
    </row>
    <row r="87" spans="1:20" ht="17" customHeight="1">
      <c r="B87" s="537" t="s">
        <v>335</v>
      </c>
      <c r="C87" s="538">
        <v>4.0999999999999996</v>
      </c>
      <c r="D87" s="539">
        <v>64</v>
      </c>
      <c r="E87" s="539">
        <v>911</v>
      </c>
      <c r="F87" s="540">
        <f t="shared" si="0"/>
        <v>57.8148691542332</v>
      </c>
      <c r="G87" s="541">
        <f t="shared" si="1"/>
        <v>6.1851308457667997</v>
      </c>
      <c r="H87" s="542">
        <f t="shared" si="2"/>
        <v>70.252469813391883</v>
      </c>
      <c r="I87" s="12">
        <f t="shared" si="3"/>
        <v>4.5005488474204167</v>
      </c>
      <c r="J87" s="542"/>
      <c r="K87" s="509"/>
      <c r="L87" s="90"/>
      <c r="M87" s="90"/>
    </row>
    <row r="88" spans="1:20" ht="17" customHeight="1">
      <c r="B88" s="537" t="s">
        <v>334</v>
      </c>
      <c r="C88" s="538">
        <v>19.8</v>
      </c>
      <c r="D88" s="539">
        <v>59</v>
      </c>
      <c r="E88" s="539">
        <v>836</v>
      </c>
      <c r="F88" s="540">
        <f t="shared" si="0"/>
        <v>95.246069394909185</v>
      </c>
      <c r="G88" s="541">
        <f t="shared" si="1"/>
        <v>-36.246069394909185</v>
      </c>
      <c r="H88" s="542">
        <f t="shared" si="2"/>
        <v>70.574162679425825</v>
      </c>
      <c r="I88" s="12">
        <f t="shared" si="3"/>
        <v>23.684210526315791</v>
      </c>
      <c r="J88" s="542"/>
      <c r="K88" s="509"/>
      <c r="L88" s="90"/>
      <c r="M88" s="90"/>
    </row>
    <row r="89" spans="1:20" ht="17" customHeight="1">
      <c r="B89" s="537" t="s">
        <v>333</v>
      </c>
      <c r="C89" s="538">
        <v>4</v>
      </c>
      <c r="D89" s="539">
        <v>38</v>
      </c>
      <c r="E89" s="539">
        <v>644</v>
      </c>
      <c r="F89" s="540">
        <f t="shared" si="0"/>
        <v>57.576453866076029</v>
      </c>
      <c r="G89" s="541">
        <f t="shared" si="1"/>
        <v>-19.576453866076029</v>
      </c>
      <c r="H89" s="542">
        <f t="shared" si="2"/>
        <v>59.006211180124225</v>
      </c>
      <c r="I89" s="12">
        <f t="shared" si="3"/>
        <v>6.2111801242236018</v>
      </c>
      <c r="J89" s="542"/>
      <c r="K89" s="509"/>
      <c r="L89" s="90"/>
      <c r="M89" s="536" t="s">
        <v>365</v>
      </c>
      <c r="T89" s="536" t="s">
        <v>367</v>
      </c>
    </row>
    <row r="90" spans="1:20" ht="17" customHeight="1">
      <c r="B90" s="537" t="s">
        <v>332</v>
      </c>
      <c r="C90" s="538">
        <v>5.6</v>
      </c>
      <c r="D90" s="539">
        <v>96</v>
      </c>
      <c r="E90" s="539">
        <v>612</v>
      </c>
      <c r="F90" s="540">
        <f t="shared" si="0"/>
        <v>61.391098476590777</v>
      </c>
      <c r="G90" s="541">
        <f t="shared" si="1"/>
        <v>34.608901523409223</v>
      </c>
      <c r="H90" s="542">
        <f t="shared" si="2"/>
        <v>156.86274509803923</v>
      </c>
      <c r="I90" s="12">
        <f t="shared" si="3"/>
        <v>9.1503267973856204</v>
      </c>
      <c r="J90" s="542"/>
      <c r="K90" s="509"/>
      <c r="L90" s="90"/>
      <c r="M90" s="90"/>
    </row>
    <row r="91" spans="1:20" ht="17" customHeight="1">
      <c r="B91" s="537" t="s">
        <v>331</v>
      </c>
      <c r="C91" s="538">
        <v>5.5</v>
      </c>
      <c r="D91" s="539">
        <v>57</v>
      </c>
      <c r="E91" s="539">
        <v>452</v>
      </c>
      <c r="F91" s="540">
        <f t="shared" si="0"/>
        <v>61.152683188433606</v>
      </c>
      <c r="G91" s="541">
        <f t="shared" si="1"/>
        <v>-4.1526831884336062</v>
      </c>
      <c r="H91" s="542">
        <f t="shared" si="2"/>
        <v>126.10619469026548</v>
      </c>
      <c r="I91" s="12">
        <f t="shared" si="3"/>
        <v>12.168141592920353</v>
      </c>
      <c r="J91" s="542"/>
      <c r="K91" s="509"/>
      <c r="L91" s="90"/>
      <c r="M91" s="90"/>
    </row>
    <row r="92" spans="1:20" ht="17" customHeight="1">
      <c r="B92" s="543" t="s">
        <v>330</v>
      </c>
      <c r="C92" s="544">
        <v>3.8</v>
      </c>
      <c r="D92" s="545">
        <v>51</v>
      </c>
      <c r="E92" s="545">
        <v>413</v>
      </c>
      <c r="F92" s="546">
        <f t="shared" si="0"/>
        <v>57.099623289761681</v>
      </c>
      <c r="G92" s="535">
        <f t="shared" si="1"/>
        <v>-6.0996232897616807</v>
      </c>
      <c r="H92" s="547">
        <f t="shared" si="2"/>
        <v>123.48668280871671</v>
      </c>
      <c r="I92" s="12">
        <f t="shared" si="3"/>
        <v>9.2009685230024214</v>
      </c>
      <c r="J92" s="542"/>
      <c r="K92" s="509"/>
      <c r="L92" s="90"/>
      <c r="M92" s="90"/>
    </row>
    <row r="93" spans="1:20" ht="15" customHeight="1">
      <c r="B93" s="537" t="s">
        <v>362</v>
      </c>
      <c r="C93" s="548">
        <f>AVERAGE(C82:C92)</f>
        <v>10.545454545454545</v>
      </c>
      <c r="D93" s="548">
        <f t="shared" ref="D93:H93" si="4">AVERAGE(D82:D92)</f>
        <v>73.181818181818187</v>
      </c>
      <c r="E93" s="548">
        <f t="shared" si="4"/>
        <v>1096.8181818181818</v>
      </c>
      <c r="F93" s="548">
        <f t="shared" si="4"/>
        <v>73.181818181818187</v>
      </c>
      <c r="G93" s="548">
        <f t="shared" si="4"/>
        <v>-5.1675835328007288E-15</v>
      </c>
      <c r="H93" s="548">
        <f t="shared" si="4"/>
        <v>79.20171824204786</v>
      </c>
      <c r="I93" s="548"/>
      <c r="J93" s="548"/>
      <c r="K93" s="509"/>
      <c r="L93" s="90"/>
      <c r="M93" s="90"/>
    </row>
    <row r="94" spans="1:20" ht="15" customHeight="1" thickBot="1">
      <c r="B94" s="537" t="s">
        <v>363</v>
      </c>
      <c r="C94" s="548">
        <f t="shared" ref="C94:H94" si="5">SQRT(C95)</f>
        <v>6.1570895775614405</v>
      </c>
      <c r="D94" s="548">
        <f t="shared" si="5"/>
        <v>33.335261652212779</v>
      </c>
      <c r="E94" s="548">
        <f t="shared" si="5"/>
        <v>682.61726507502897</v>
      </c>
      <c r="F94" s="548">
        <f t="shared" si="5"/>
        <v>14.679442858438355</v>
      </c>
      <c r="G94" s="548">
        <f t="shared" si="5"/>
        <v>29.929143435576844</v>
      </c>
      <c r="H94" s="548">
        <f t="shared" si="5"/>
        <v>36.370456288815866</v>
      </c>
      <c r="I94" s="548"/>
      <c r="J94" s="548"/>
      <c r="K94" s="509"/>
      <c r="L94" s="90"/>
      <c r="M94" s="90"/>
    </row>
    <row r="95" spans="1:20" ht="15" customHeight="1" thickBot="1">
      <c r="B95" s="537" t="s">
        <v>369</v>
      </c>
      <c r="C95" s="548">
        <f>VARP(C82:C92)</f>
        <v>37.909752066115715</v>
      </c>
      <c r="D95" s="549">
        <f t="shared" ref="D95:H95" si="6">VARP(D82:D92)</f>
        <v>1111.2396694214876</v>
      </c>
      <c r="E95" s="548">
        <f t="shared" si="6"/>
        <v>465966.3305785124</v>
      </c>
      <c r="F95" s="548">
        <f t="shared" si="6"/>
        <v>215.48604263415683</v>
      </c>
      <c r="G95" s="548">
        <f t="shared" si="6"/>
        <v>895.75362678733256</v>
      </c>
      <c r="H95" s="548">
        <f t="shared" si="6"/>
        <v>1322.8100906566656</v>
      </c>
      <c r="I95" s="548"/>
      <c r="J95" s="548"/>
      <c r="K95" s="509"/>
      <c r="L95" s="90"/>
      <c r="M95" s="90"/>
    </row>
    <row r="96" spans="1:20" ht="15" customHeight="1" thickBot="1">
      <c r="B96" s="550"/>
      <c r="C96" s="541"/>
      <c r="D96" s="541"/>
      <c r="E96" s="541"/>
      <c r="F96" s="673">
        <f>F95+G95</f>
        <v>1111.2396694214895</v>
      </c>
      <c r="G96" s="674"/>
      <c r="H96" s="534"/>
      <c r="I96" s="534"/>
      <c r="J96" s="534"/>
    </row>
    <row r="97" spans="1:20" ht="13">
      <c r="B97" s="550" t="s">
        <v>341</v>
      </c>
      <c r="C97" s="551">
        <f>COUNT(C82:C92)</f>
        <v>11</v>
      </c>
      <c r="D97" s="541"/>
      <c r="E97" s="541"/>
      <c r="F97" s="534"/>
      <c r="G97" s="552"/>
    </row>
    <row r="98" spans="1:20">
      <c r="B98" s="553" t="s">
        <v>370</v>
      </c>
      <c r="C98" s="554">
        <f>SUM(C82:C92)</f>
        <v>115.99999999999999</v>
      </c>
      <c r="D98" s="541"/>
      <c r="E98" s="541"/>
      <c r="F98" s="534"/>
      <c r="G98" s="534"/>
    </row>
    <row r="99" spans="1:20">
      <c r="B99" s="553" t="s">
        <v>371</v>
      </c>
      <c r="C99" s="554">
        <f>SUMSQ(C82:C92)</f>
        <v>1640.28</v>
      </c>
      <c r="D99" s="541"/>
      <c r="E99" s="541"/>
      <c r="F99" s="534"/>
      <c r="G99" s="534"/>
    </row>
    <row r="100" spans="1:20">
      <c r="B100" s="553" t="s">
        <v>372</v>
      </c>
      <c r="C100" s="554">
        <f>SUM(D82:D92)</f>
        <v>805</v>
      </c>
      <c r="D100" s="541"/>
      <c r="E100" s="541"/>
      <c r="F100" s="534"/>
      <c r="G100" s="534"/>
    </row>
    <row r="101" spans="1:20">
      <c r="B101" s="553" t="s">
        <v>373</v>
      </c>
      <c r="C101" s="554">
        <f>SUMSQ(D82:D92)</f>
        <v>71135</v>
      </c>
      <c r="D101" s="541"/>
      <c r="E101" s="541"/>
      <c r="F101" s="534"/>
      <c r="G101" s="534"/>
    </row>
    <row r="102" spans="1:20" ht="14">
      <c r="B102" s="553" t="s">
        <v>374</v>
      </c>
      <c r="C102" s="554">
        <f>SUMPRODUCT(C82:C92,D82:D92)</f>
        <v>9483.2999999999993</v>
      </c>
      <c r="D102" s="541"/>
      <c r="E102" s="541"/>
      <c r="F102" s="534"/>
      <c r="G102" s="534"/>
    </row>
    <row r="103" spans="1:20">
      <c r="B103" s="553" t="s">
        <v>375</v>
      </c>
      <c r="C103" s="554">
        <f>SUM(F82:F92)</f>
        <v>805</v>
      </c>
      <c r="D103" s="541"/>
      <c r="E103" s="541"/>
      <c r="F103" s="534"/>
      <c r="G103" s="534"/>
    </row>
    <row r="104" spans="1:20">
      <c r="B104" s="553" t="s">
        <v>376</v>
      </c>
      <c r="C104" s="554">
        <f>SUMSQ(F82:F92)</f>
        <v>61281.710105339356</v>
      </c>
      <c r="D104" s="541"/>
      <c r="E104" s="541"/>
      <c r="F104" s="534"/>
      <c r="G104" s="534"/>
    </row>
    <row r="105" spans="1:20" ht="13">
      <c r="B105" s="541"/>
      <c r="C105" s="541"/>
      <c r="D105" s="541"/>
      <c r="E105" s="541"/>
      <c r="F105" s="534"/>
      <c r="G105" s="534"/>
    </row>
    <row r="106" spans="1:20" thickBot="1">
      <c r="B106" s="541"/>
      <c r="C106" s="541" t="s">
        <v>342</v>
      </c>
      <c r="D106" s="535" t="s">
        <v>343</v>
      </c>
      <c r="E106" s="541"/>
      <c r="F106" s="534"/>
      <c r="G106" s="534"/>
      <c r="M106" s="536" t="s">
        <v>368</v>
      </c>
      <c r="T106" s="536" t="s">
        <v>366</v>
      </c>
    </row>
    <row r="107" spans="1:20" ht="13">
      <c r="A107" s="408" t="s">
        <v>278</v>
      </c>
      <c r="B107" s="555" t="s">
        <v>344</v>
      </c>
      <c r="C107" s="556">
        <f>(C97*C102-C98*C100)/(C97*C99-C98^2)</f>
        <v>2.3841528815717186</v>
      </c>
      <c r="D107" s="12">
        <f>SLOPE(D82:D92,C82:C92)</f>
        <v>2.384152881571719</v>
      </c>
      <c r="E107" s="12"/>
      <c r="F107" s="534"/>
      <c r="G107" s="534"/>
    </row>
    <row r="108" spans="1:20" ht="14" thickBot="1">
      <c r="B108" s="557" t="s">
        <v>345</v>
      </c>
      <c r="C108" s="558">
        <f>(C100-C107*C98)/C97</f>
        <v>48.039842339789153</v>
      </c>
      <c r="D108" s="12">
        <f>INTERCEPT(D82:D92,C82:C92)</f>
        <v>48.039842339789146</v>
      </c>
      <c r="E108" s="12"/>
      <c r="F108" s="534"/>
      <c r="G108" s="534"/>
    </row>
    <row r="109" spans="1:20" ht="14" thickBot="1">
      <c r="B109" s="550"/>
      <c r="C109" s="12"/>
      <c r="D109" s="12"/>
      <c r="E109" s="12"/>
      <c r="F109" s="534"/>
      <c r="G109" s="534"/>
    </row>
    <row r="110" spans="1:20" ht="13">
      <c r="A110" s="408" t="s">
        <v>305</v>
      </c>
      <c r="B110" s="555" t="s">
        <v>346</v>
      </c>
      <c r="C110" s="556">
        <f>(C97*C102-C98*C100)/SQRT((C97*C99-C98^2)*(C97*C101-C100^2))</f>
        <v>0.44035781124471512</v>
      </c>
      <c r="D110" s="12">
        <f>PEARSON(D81:D92,C81:C92)</f>
        <v>0.44035781124471518</v>
      </c>
      <c r="E110" s="12"/>
      <c r="F110" s="534"/>
      <c r="G110" s="534"/>
    </row>
    <row r="111" spans="1:20" ht="14" thickBot="1">
      <c r="B111" s="557" t="s">
        <v>377</v>
      </c>
      <c r="C111" s="558">
        <f>C110^2</f>
        <v>0.19391500192423616</v>
      </c>
      <c r="D111" s="12">
        <f t="shared" ref="D111" si="7">D110^2</f>
        <v>0.19391500192423619</v>
      </c>
      <c r="E111" s="12"/>
      <c r="F111" s="534"/>
      <c r="G111" s="534"/>
    </row>
    <row r="112" spans="1:20" ht="14" thickBot="1">
      <c r="B112" s="550"/>
      <c r="C112" s="541"/>
      <c r="D112" s="541"/>
      <c r="E112" s="541"/>
      <c r="F112" s="534"/>
      <c r="G112" s="534"/>
    </row>
    <row r="113" spans="1:7" ht="14" thickBot="1">
      <c r="A113" s="408" t="s">
        <v>318</v>
      </c>
      <c r="B113" s="559" t="s">
        <v>347</v>
      </c>
      <c r="C113" s="560"/>
      <c r="D113" s="560"/>
      <c r="E113" s="561"/>
      <c r="F113" s="534"/>
      <c r="G113" s="534"/>
    </row>
    <row r="114" spans="1:7" ht="14" thickBot="1">
      <c r="B114" s="541"/>
      <c r="C114" s="541"/>
      <c r="D114" s="541"/>
      <c r="E114" s="541"/>
      <c r="F114" s="534"/>
      <c r="G114" s="534"/>
    </row>
    <row r="115" spans="1:7" ht="14" thickBot="1">
      <c r="A115" s="408" t="s">
        <v>348</v>
      </c>
      <c r="B115" s="550" t="s">
        <v>378</v>
      </c>
      <c r="C115" s="541">
        <f>(C104-C103^2/C97)/C97</f>
        <v>215.48604263415606</v>
      </c>
      <c r="D115" s="562" t="s">
        <v>377</v>
      </c>
      <c r="E115" s="563">
        <f>C115/C116</f>
        <v>0.19391500192423686</v>
      </c>
      <c r="F115" s="534"/>
      <c r="G115" s="534"/>
    </row>
    <row r="116" spans="1:7" ht="13">
      <c r="B116" s="550" t="s">
        <v>379</v>
      </c>
      <c r="C116" s="541">
        <f>(C101-C100^2/C97)/C97</f>
        <v>1111.2396694214874</v>
      </c>
      <c r="D116" s="541"/>
      <c r="E116" s="541"/>
      <c r="F116" s="534"/>
      <c r="G116" s="534"/>
    </row>
    <row r="117" spans="1:7" ht="13">
      <c r="B117" s="550"/>
      <c r="C117" s="541"/>
      <c r="D117" s="541"/>
      <c r="E117" s="541"/>
      <c r="F117" s="534"/>
      <c r="G117" s="534"/>
    </row>
    <row r="118" spans="1:7" ht="13">
      <c r="B118" s="550"/>
      <c r="C118" s="541"/>
      <c r="D118" s="541"/>
      <c r="E118" s="541"/>
      <c r="F118" s="534"/>
      <c r="G118" s="534"/>
    </row>
    <row r="119" spans="1:7" ht="13">
      <c r="A119" s="408" t="s">
        <v>220</v>
      </c>
      <c r="B119" s="564" t="s">
        <v>380</v>
      </c>
      <c r="C119" s="541"/>
      <c r="D119" s="541"/>
      <c r="E119" s="541"/>
      <c r="F119" s="534"/>
      <c r="G119" s="534"/>
    </row>
    <row r="120" spans="1:7" ht="14" thickBot="1">
      <c r="B120" s="541"/>
      <c r="C120" s="541"/>
      <c r="D120" s="541"/>
      <c r="E120" s="541"/>
      <c r="F120" s="534"/>
      <c r="G120" s="534"/>
    </row>
    <row r="121" spans="1:7" ht="13">
      <c r="A121" s="408" t="s">
        <v>356</v>
      </c>
      <c r="B121" s="565" t="s">
        <v>349</v>
      </c>
      <c r="C121" s="566"/>
      <c r="D121" s="566"/>
      <c r="E121" s="566"/>
      <c r="F121" s="567"/>
      <c r="G121" s="568"/>
    </row>
    <row r="122" spans="1:7" ht="13">
      <c r="B122" s="569" t="s">
        <v>350</v>
      </c>
      <c r="C122" s="541"/>
      <c r="D122" s="541"/>
      <c r="E122" s="541"/>
      <c r="F122" s="534"/>
      <c r="G122" s="570"/>
    </row>
    <row r="123" spans="1:7" ht="13">
      <c r="B123" s="569" t="s">
        <v>351</v>
      </c>
      <c r="C123" s="541"/>
      <c r="D123" s="541"/>
      <c r="E123" s="541"/>
      <c r="F123" s="541"/>
      <c r="G123" s="570"/>
    </row>
    <row r="124" spans="1:7" ht="14" thickBot="1">
      <c r="B124" s="557" t="s">
        <v>381</v>
      </c>
      <c r="C124" s="571">
        <f>PEARSON(C82:C92,H82:H92)</f>
        <v>-0.54346843798044975</v>
      </c>
      <c r="D124" s="572"/>
      <c r="E124" s="572"/>
      <c r="F124" s="572"/>
      <c r="G124" s="573"/>
    </row>
  </sheetData>
  <sortState ref="B82:H92">
    <sortCondition descending="1" ref="E82:E92"/>
  </sortState>
  <mergeCells count="1">
    <mergeCell ref="F96:G96"/>
  </mergeCells>
  <phoneticPr fontId="5"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0"/>
  <sheetViews>
    <sheetView tabSelected="1" topLeftCell="A69" zoomScale="140" zoomScaleNormal="140" zoomScalePageLayoutView="140" workbookViewId="0">
      <selection activeCell="D74" sqref="D74"/>
    </sheetView>
  </sheetViews>
  <sheetFormatPr baseColWidth="10" defaultRowHeight="17" customHeight="1" x14ac:dyDescent="0"/>
  <cols>
    <col min="1" max="1" width="4.5" style="7" customWidth="1"/>
    <col min="2" max="2" width="20.1640625" style="627" customWidth="1"/>
    <col min="3" max="8" width="12.83203125" style="89" customWidth="1"/>
    <col min="9" max="9" width="8.33203125" style="89" customWidth="1"/>
    <col min="10" max="10" width="10.83203125" style="89"/>
    <col min="11" max="11" width="15.83203125" style="89" customWidth="1"/>
    <col min="12" max="16384" width="10.83203125" style="89"/>
  </cols>
  <sheetData>
    <row r="1" spans="1:8" ht="17" customHeight="1">
      <c r="A1" s="593" t="s">
        <v>415</v>
      </c>
      <c r="B1" s="637" t="s">
        <v>474</v>
      </c>
    </row>
    <row r="2" spans="1:8" s="594" customFormat="1" ht="33" customHeight="1">
      <c r="B2" s="638" t="s">
        <v>475</v>
      </c>
      <c r="C2" s="589" t="s">
        <v>416</v>
      </c>
      <c r="D2" s="589" t="s">
        <v>417</v>
      </c>
      <c r="E2" s="589" t="s">
        <v>440</v>
      </c>
      <c r="F2" s="589" t="s">
        <v>441</v>
      </c>
    </row>
    <row r="3" spans="1:8" s="16" customFormat="1" ht="17" customHeight="1">
      <c r="A3" s="18"/>
      <c r="B3" s="595" t="s">
        <v>421</v>
      </c>
      <c r="C3" s="122">
        <v>5.15</v>
      </c>
      <c r="D3" s="596">
        <v>4.3</v>
      </c>
      <c r="E3" s="122">
        <f t="shared" ref="E3:E8" si="0">C3*$H$13+$H$14</f>
        <v>5.4082093632584893</v>
      </c>
      <c r="F3" s="122">
        <f t="shared" ref="F3:F15" si="1">D3-E3</f>
        <v>-1.1082093632584895</v>
      </c>
      <c r="G3" s="7" t="s">
        <v>341</v>
      </c>
      <c r="H3" s="9">
        <f>COUNT(C3:C15)</f>
        <v>12</v>
      </c>
    </row>
    <row r="4" spans="1:8" s="16" customFormat="1" ht="17" customHeight="1">
      <c r="A4" s="18"/>
      <c r="B4" s="595" t="s">
        <v>422</v>
      </c>
      <c r="C4" s="122">
        <v>4.7699999999999996</v>
      </c>
      <c r="D4" s="596">
        <v>4.4000000000000004</v>
      </c>
      <c r="E4" s="122">
        <f t="shared" si="0"/>
        <v>5.2064677768161793</v>
      </c>
      <c r="F4" s="122">
        <f t="shared" si="1"/>
        <v>-0.80646777681617898</v>
      </c>
      <c r="G4" s="590" t="s">
        <v>447</v>
      </c>
      <c r="H4" s="591">
        <f>SUM(C3:C15)</f>
        <v>29.97</v>
      </c>
    </row>
    <row r="5" spans="1:8" s="16" customFormat="1" ht="17" customHeight="1">
      <c r="A5" s="18"/>
      <c r="B5" s="595" t="s">
        <v>419</v>
      </c>
      <c r="C5" s="122">
        <v>4.5199999999999996</v>
      </c>
      <c r="D5" s="596">
        <v>5</v>
      </c>
      <c r="E5" s="122">
        <f t="shared" si="0"/>
        <v>5.0737430488936077</v>
      </c>
      <c r="F5" s="122">
        <f t="shared" si="1"/>
        <v>-7.3743048893607721E-2</v>
      </c>
      <c r="G5" s="590" t="s">
        <v>448</v>
      </c>
      <c r="H5" s="85">
        <f>SUMSQ(C3:C15)</f>
        <v>112.66330000000001</v>
      </c>
    </row>
    <row r="6" spans="1:8" s="16" customFormat="1" ht="17" customHeight="1">
      <c r="A6" s="18"/>
      <c r="B6" s="595" t="s">
        <v>423</v>
      </c>
      <c r="C6" s="122">
        <v>3.99</v>
      </c>
      <c r="D6" s="596">
        <v>5.5</v>
      </c>
      <c r="E6" s="122">
        <f t="shared" si="0"/>
        <v>4.7923666256977544</v>
      </c>
      <c r="F6" s="122">
        <f t="shared" si="1"/>
        <v>0.7076333743022456</v>
      </c>
      <c r="G6" s="590" t="s">
        <v>449</v>
      </c>
      <c r="H6" s="591">
        <f>SUM(D3:D15)</f>
        <v>48</v>
      </c>
    </row>
    <row r="7" spans="1:8" s="16" customFormat="1" ht="17" customHeight="1">
      <c r="A7" s="18"/>
      <c r="B7" s="595" t="s">
        <v>418</v>
      </c>
      <c r="C7" s="122">
        <v>3.64</v>
      </c>
      <c r="D7" s="596">
        <v>5.6</v>
      </c>
      <c r="E7" s="122">
        <f t="shared" si="0"/>
        <v>4.6065520066061545</v>
      </c>
      <c r="F7" s="122">
        <f t="shared" si="1"/>
        <v>0.99344799339384515</v>
      </c>
      <c r="G7" s="590" t="s">
        <v>450</v>
      </c>
      <c r="H7" s="85">
        <f>SUMSQ(D3:D15)</f>
        <v>215.31999999999996</v>
      </c>
    </row>
    <row r="8" spans="1:8" s="16" customFormat="1" ht="17" customHeight="1">
      <c r="A8" s="18"/>
      <c r="B8" s="595" t="s">
        <v>420</v>
      </c>
      <c r="C8" s="122">
        <v>2.93</v>
      </c>
      <c r="D8" s="596">
        <v>6.6</v>
      </c>
      <c r="E8" s="122">
        <f t="shared" si="0"/>
        <v>4.2296137793060495</v>
      </c>
      <c r="F8" s="122">
        <f t="shared" si="1"/>
        <v>2.3703862206939501</v>
      </c>
      <c r="G8" s="10" t="s">
        <v>453</v>
      </c>
      <c r="H8" s="19">
        <f>PEARSON(C3:C15,D3:D15)</f>
        <v>0.6760353742819637</v>
      </c>
    </row>
    <row r="9" spans="1:8" s="16" customFormat="1" ht="17" customHeight="1">
      <c r="A9" s="18"/>
      <c r="B9" s="638" t="s">
        <v>476</v>
      </c>
      <c r="C9" s="122"/>
      <c r="D9" s="596"/>
      <c r="E9" s="122"/>
      <c r="F9" s="122"/>
      <c r="G9" s="10"/>
      <c r="H9" s="19"/>
    </row>
    <row r="10" spans="1:8" s="16" customFormat="1" ht="17" customHeight="1">
      <c r="A10" s="18"/>
      <c r="B10" s="16" t="s">
        <v>479</v>
      </c>
      <c r="C10" s="122">
        <v>1.5</v>
      </c>
      <c r="D10" s="122">
        <v>2</v>
      </c>
      <c r="E10" s="122">
        <f t="shared" ref="E10:E15" si="2">C10*$H$13+$H$14</f>
        <v>3.4704283355889372</v>
      </c>
      <c r="F10" s="122">
        <f t="shared" si="1"/>
        <v>-1.4704283355889372</v>
      </c>
    </row>
    <row r="11" spans="1:8" s="16" customFormat="1" ht="17" customHeight="1">
      <c r="A11" s="18"/>
      <c r="B11" s="16" t="s">
        <v>477</v>
      </c>
      <c r="C11" s="122">
        <v>1.2</v>
      </c>
      <c r="D11" s="596">
        <v>2.4</v>
      </c>
      <c r="E11" s="122">
        <f t="shared" si="2"/>
        <v>3.3111586620818505</v>
      </c>
      <c r="F11" s="122">
        <f t="shared" si="1"/>
        <v>-0.91115866208185059</v>
      </c>
      <c r="G11" s="590" t="s">
        <v>451</v>
      </c>
      <c r="H11" s="85">
        <f>SUMPRODUCT(C3:C15,D3:D15)</f>
        <v>139.95500000000001</v>
      </c>
    </row>
    <row r="12" spans="1:8" s="16" customFormat="1" ht="17" customHeight="1">
      <c r="A12" s="18"/>
      <c r="B12" s="16" t="s">
        <v>478</v>
      </c>
      <c r="C12" s="122">
        <v>0.95</v>
      </c>
      <c r="D12" s="596">
        <v>2.7</v>
      </c>
      <c r="E12" s="122">
        <f t="shared" si="2"/>
        <v>3.1784339341592784</v>
      </c>
      <c r="F12" s="122">
        <f t="shared" si="1"/>
        <v>-0.47843393415927826</v>
      </c>
      <c r="G12" s="590" t="s">
        <v>452</v>
      </c>
      <c r="H12" s="592">
        <f>SUMSQ(E3:E15)</f>
        <v>202.6577956521825</v>
      </c>
    </row>
    <row r="13" spans="1:8" s="16" customFormat="1" ht="17" customHeight="1">
      <c r="A13" s="18"/>
      <c r="B13" s="16" t="s">
        <v>480</v>
      </c>
      <c r="C13" s="122">
        <v>0.52</v>
      </c>
      <c r="D13" s="122">
        <v>3</v>
      </c>
      <c r="E13" s="122">
        <f t="shared" si="2"/>
        <v>2.9501474021324547</v>
      </c>
      <c r="F13" s="122">
        <f t="shared" si="1"/>
        <v>4.9852597867545256E-2</v>
      </c>
      <c r="G13" s="10" t="s">
        <v>442</v>
      </c>
      <c r="H13" s="19">
        <f>SLOPE(D3:D15,C3:C15)</f>
        <v>0.53089891169028824</v>
      </c>
    </row>
    <row r="14" spans="1:8" s="16" customFormat="1" ht="17" customHeight="1">
      <c r="A14" s="18"/>
      <c r="B14" s="16" t="s">
        <v>481</v>
      </c>
      <c r="C14" s="122">
        <v>0.5</v>
      </c>
      <c r="D14" s="596">
        <v>3</v>
      </c>
      <c r="E14" s="122">
        <f t="shared" si="2"/>
        <v>2.9395294238986489</v>
      </c>
      <c r="F14" s="122">
        <f t="shared" si="1"/>
        <v>6.0470576101351092E-2</v>
      </c>
      <c r="G14" s="10" t="s">
        <v>443</v>
      </c>
      <c r="H14" s="19">
        <f>INTERCEPT(D3:D15,C3:C15)</f>
        <v>2.6740799680535048</v>
      </c>
    </row>
    <row r="15" spans="1:8" s="16" customFormat="1" ht="17" customHeight="1">
      <c r="A15" s="18"/>
      <c r="B15" s="598" t="s">
        <v>482</v>
      </c>
      <c r="C15" s="123">
        <v>0.3</v>
      </c>
      <c r="D15" s="123">
        <v>3.5</v>
      </c>
      <c r="E15" s="123">
        <f t="shared" si="2"/>
        <v>2.8333496415605914</v>
      </c>
      <c r="F15" s="123">
        <f t="shared" si="1"/>
        <v>0.66665035843940856</v>
      </c>
    </row>
    <row r="16" spans="1:8" s="16" customFormat="1" ht="17" customHeight="1">
      <c r="A16" s="18"/>
      <c r="B16" s="599" t="s">
        <v>444</v>
      </c>
      <c r="C16" s="528">
        <f>AVERAGE(C3:C15)</f>
        <v>2.4975000000000001</v>
      </c>
      <c r="D16" s="528">
        <f t="shared" ref="D16:F16" si="3">AVERAGE(D3:D15)</f>
        <v>4</v>
      </c>
      <c r="E16" s="528">
        <f t="shared" si="3"/>
        <v>4</v>
      </c>
      <c r="F16" s="528">
        <f t="shared" si="3"/>
        <v>2.9605947323337506E-16</v>
      </c>
      <c r="H16" s="651"/>
    </row>
    <row r="17" spans="1:8" s="16" customFormat="1" ht="17" customHeight="1">
      <c r="A17" s="18"/>
      <c r="B17" s="599" t="s">
        <v>445</v>
      </c>
      <c r="C17" s="528">
        <f>VARP(C3:C15)</f>
        <v>3.1511020833333347</v>
      </c>
      <c r="D17" s="528">
        <f t="shared" ref="D17:F17" si="4">VARP(D3:D15)</f>
        <v>1.9433333333333311</v>
      </c>
      <c r="E17" s="528">
        <f t="shared" si="4"/>
        <v>0.88814963768187583</v>
      </c>
      <c r="F17" s="528">
        <f t="shared" si="4"/>
        <v>1.0551836956514551</v>
      </c>
    </row>
    <row r="18" spans="1:8" s="16" customFormat="1" ht="17" customHeight="1">
      <c r="A18" s="18"/>
      <c r="B18" s="599" t="s">
        <v>446</v>
      </c>
      <c r="C18" s="528">
        <f>STDEVP(C3:C15)</f>
        <v>1.7751343845842587</v>
      </c>
      <c r="D18" s="528">
        <f t="shared" ref="D18:F18" si="5">STDEVP(D3:D15)</f>
        <v>1.3940349110884316</v>
      </c>
      <c r="E18" s="528">
        <f t="shared" si="5"/>
        <v>0.94241691287979112</v>
      </c>
      <c r="F18" s="528">
        <f t="shared" si="5"/>
        <v>1.027221346960554</v>
      </c>
    </row>
    <row r="19" spans="1:8" s="16" customFormat="1" ht="17" customHeight="1">
      <c r="A19" s="18"/>
      <c r="B19" s="595"/>
      <c r="C19" s="122"/>
      <c r="D19" s="596"/>
      <c r="E19" s="74"/>
      <c r="F19" s="581"/>
      <c r="H19" s="597"/>
    </row>
    <row r="20" spans="1:8" s="16" customFormat="1" ht="12">
      <c r="A20" s="18"/>
      <c r="B20" s="74"/>
      <c r="C20" s="74"/>
      <c r="D20" s="74"/>
      <c r="E20" s="21" t="s">
        <v>424</v>
      </c>
    </row>
    <row r="21" spans="1:8" s="16" customFormat="1" ht="12">
      <c r="A21" s="18" t="s">
        <v>425</v>
      </c>
      <c r="B21" s="10" t="s">
        <v>454</v>
      </c>
      <c r="C21" s="19">
        <f>H8</f>
        <v>0.6760353742819637</v>
      </c>
      <c r="D21" s="74"/>
      <c r="E21" s="74"/>
    </row>
    <row r="22" spans="1:8" s="16" customFormat="1" ht="12">
      <c r="A22" s="18"/>
      <c r="B22" s="10" t="s">
        <v>426</v>
      </c>
      <c r="C22" s="19">
        <f>0.5*LN((1+H8)/(1-H8))</f>
        <v>0.82177602862180532</v>
      </c>
      <c r="D22" s="74"/>
      <c r="E22" s="74"/>
    </row>
    <row r="23" spans="1:8" s="16" customFormat="1" ht="12">
      <c r="A23" s="18"/>
      <c r="B23" s="10" t="s">
        <v>427</v>
      </c>
      <c r="C23" s="19">
        <f>SQRT(1/(H3-3))</f>
        <v>0.33333333333333331</v>
      </c>
      <c r="D23" s="74"/>
      <c r="E23" s="74"/>
    </row>
    <row r="24" spans="1:8" s="16" customFormat="1" ht="12">
      <c r="A24" s="18"/>
      <c r="B24" s="10" t="s">
        <v>428</v>
      </c>
      <c r="C24" s="2">
        <v>0.8</v>
      </c>
      <c r="D24" s="74"/>
      <c r="E24" s="74"/>
    </row>
    <row r="25" spans="1:8" s="16" customFormat="1" ht="12">
      <c r="A25" s="18"/>
      <c r="B25" s="10" t="s">
        <v>429</v>
      </c>
      <c r="C25" s="19">
        <f>-NORMSINV((1-C24)/2)</f>
        <v>1.2815515655446006</v>
      </c>
      <c r="D25" s="74"/>
      <c r="E25" s="74"/>
    </row>
    <row r="26" spans="1:8" s="16" customFormat="1" ht="12">
      <c r="A26" s="18"/>
      <c r="B26" s="10" t="s">
        <v>430</v>
      </c>
      <c r="C26" s="19">
        <f>C23*C25</f>
        <v>0.42718385518153351</v>
      </c>
      <c r="D26" s="74"/>
      <c r="E26" s="74"/>
    </row>
    <row r="27" spans="1:8" s="16" customFormat="1" ht="12">
      <c r="A27" s="18"/>
      <c r="B27" s="10" t="s">
        <v>431</v>
      </c>
      <c r="C27" s="19">
        <f>C22+C26</f>
        <v>1.2489598838033389</v>
      </c>
      <c r="D27" s="74"/>
      <c r="E27" s="74"/>
    </row>
    <row r="28" spans="1:8" s="16" customFormat="1" ht="13" thickBot="1">
      <c r="A28" s="18"/>
      <c r="B28" s="10" t="s">
        <v>432</v>
      </c>
      <c r="C28" s="19">
        <f>C22-C26</f>
        <v>0.39459217344027181</v>
      </c>
      <c r="D28" s="74"/>
      <c r="E28" s="74"/>
    </row>
    <row r="29" spans="1:8" s="16" customFormat="1" ht="12">
      <c r="A29" s="18"/>
      <c r="B29" s="600" t="s">
        <v>433</v>
      </c>
      <c r="C29" s="117">
        <f>(EXP(2*C27)-1)/(EXP(2*C27)+1)</f>
        <v>0.84799171845238452</v>
      </c>
      <c r="D29" s="74"/>
      <c r="E29" s="74"/>
    </row>
    <row r="30" spans="1:8" s="16" customFormat="1" ht="12">
      <c r="A30" s="18"/>
      <c r="B30" s="26" t="s">
        <v>434</v>
      </c>
      <c r="C30" s="100">
        <f>(EXP(2*C28)-1)/(EXP(2*C28)+1)</f>
        <v>0.37531233443065787</v>
      </c>
      <c r="D30" s="74"/>
      <c r="E30" s="74"/>
    </row>
    <row r="31" spans="1:8" s="16" customFormat="1" ht="12">
      <c r="A31" s="18"/>
      <c r="B31" s="26" t="s">
        <v>455</v>
      </c>
      <c r="C31" s="100">
        <f>C29^2</f>
        <v>0.71908995456382818</v>
      </c>
      <c r="D31" s="74"/>
      <c r="E31" s="74"/>
    </row>
    <row r="32" spans="1:8" s="16" customFormat="1" ht="13" thickBot="1">
      <c r="A32" s="18"/>
      <c r="B32" s="37" t="s">
        <v>456</v>
      </c>
      <c r="C32" s="108">
        <f>C30^2</f>
        <v>0.14085934837578998</v>
      </c>
      <c r="D32" s="74"/>
      <c r="E32" s="74"/>
    </row>
    <row r="33" spans="1:5" s="16" customFormat="1" ht="12">
      <c r="A33" s="18"/>
      <c r="B33" s="10"/>
      <c r="C33" s="19"/>
      <c r="D33" s="74"/>
      <c r="E33" s="74"/>
    </row>
    <row r="34" spans="1:5" s="16" customFormat="1" ht="12">
      <c r="A34" s="18" t="s">
        <v>0</v>
      </c>
      <c r="B34" s="10" t="s">
        <v>457</v>
      </c>
      <c r="C34" s="19">
        <f>(H7-H6^2/H3)/H3</f>
        <v>1.9433333333333305</v>
      </c>
      <c r="D34" s="74"/>
      <c r="E34" s="74"/>
    </row>
    <row r="35" spans="1:5" s="16" customFormat="1" ht="13" thickBot="1">
      <c r="A35" s="18"/>
      <c r="B35" s="10" t="s">
        <v>473</v>
      </c>
      <c r="C35" s="19">
        <f>C21^2</f>
        <v>0.45702382728055474</v>
      </c>
      <c r="D35" s="650"/>
      <c r="E35" s="650"/>
    </row>
    <row r="36" spans="1:5" s="16" customFormat="1" ht="13" thickBot="1">
      <c r="A36" s="18"/>
      <c r="B36" s="27" t="s">
        <v>458</v>
      </c>
      <c r="C36" s="28">
        <f>C34*C35</f>
        <v>0.88814963768187671</v>
      </c>
      <c r="D36" s="74"/>
      <c r="E36" s="74"/>
    </row>
    <row r="37" spans="1:5" s="16" customFormat="1" ht="12">
      <c r="A37" s="18"/>
      <c r="B37" s="10" t="s">
        <v>459</v>
      </c>
      <c r="C37" s="19">
        <f>SQRT(C36)</f>
        <v>0.94241691287979157</v>
      </c>
      <c r="D37" s="74"/>
      <c r="E37" s="74"/>
    </row>
    <row r="38" spans="1:5" s="16" customFormat="1" ht="12">
      <c r="A38" s="18"/>
      <c r="B38" s="10"/>
      <c r="C38" s="601"/>
      <c r="D38" s="74"/>
      <c r="E38" s="74"/>
    </row>
    <row r="39" spans="1:5" s="16" customFormat="1" ht="12">
      <c r="A39" s="18"/>
      <c r="B39" s="10"/>
      <c r="C39" s="601"/>
      <c r="D39" s="74"/>
      <c r="E39" s="74"/>
    </row>
    <row r="40" spans="1:5" s="16" customFormat="1" ht="12">
      <c r="A40" s="18" t="s">
        <v>127</v>
      </c>
      <c r="B40" s="10"/>
      <c r="C40" s="34" t="s">
        <v>435</v>
      </c>
      <c r="D40" s="74" t="s">
        <v>436</v>
      </c>
      <c r="E40" s="74"/>
    </row>
    <row r="41" spans="1:5" s="16" customFormat="1" ht="12">
      <c r="A41" s="18"/>
      <c r="B41" s="10" t="s">
        <v>460</v>
      </c>
      <c r="C41" s="528">
        <f>H4/H3</f>
        <v>2.4975000000000001</v>
      </c>
      <c r="D41" s="528">
        <f>AVERAGE(C3:C15)</f>
        <v>2.4975000000000001</v>
      </c>
      <c r="E41" s="74"/>
    </row>
    <row r="42" spans="1:5" s="16" customFormat="1" ht="12">
      <c r="A42" s="18"/>
      <c r="B42" s="10" t="s">
        <v>461</v>
      </c>
      <c r="C42" s="528">
        <f>SQRT((H5-H4^2/H3)/H3)</f>
        <v>1.7751343845842587</v>
      </c>
      <c r="D42" s="528">
        <f>SQRT(VARP(C3:C15))</f>
        <v>1.7751343845842587</v>
      </c>
      <c r="E42" s="74"/>
    </row>
    <row r="43" spans="1:5" s="16" customFormat="1" ht="12">
      <c r="A43" s="18"/>
      <c r="B43" s="10" t="s">
        <v>462</v>
      </c>
      <c r="C43" s="586">
        <f>H6/H3</f>
        <v>4</v>
      </c>
      <c r="D43" s="586">
        <f>AVERAGE(D3:D15)</f>
        <v>4</v>
      </c>
      <c r="E43" s="74"/>
    </row>
    <row r="44" spans="1:5" s="16" customFormat="1" ht="12">
      <c r="A44" s="18"/>
      <c r="B44" s="10" t="s">
        <v>463</v>
      </c>
      <c r="C44" s="586">
        <f>SQRT((H7-H6^2/H3)/H3)</f>
        <v>1.3940349110884314</v>
      </c>
      <c r="D44" s="586">
        <f>SQRT(VARP(D3:D15))</f>
        <v>1.3940349110884316</v>
      </c>
      <c r="E44" s="74"/>
    </row>
    <row r="45" spans="1:5" s="16" customFormat="1" ht="12">
      <c r="A45" s="18"/>
      <c r="B45" s="10"/>
      <c r="C45" s="601"/>
      <c r="D45" s="34"/>
      <c r="E45" s="74"/>
    </row>
    <row r="46" spans="1:5" s="16" customFormat="1" ht="12">
      <c r="A46" s="18"/>
      <c r="B46" s="10" t="s">
        <v>437</v>
      </c>
      <c r="C46" s="602">
        <v>2</v>
      </c>
      <c r="D46" s="34"/>
      <c r="E46" s="74"/>
    </row>
    <row r="47" spans="1:5" s="16" customFormat="1" ht="12">
      <c r="A47" s="18"/>
      <c r="B47" s="10" t="s">
        <v>464</v>
      </c>
      <c r="C47" s="19">
        <f>(C46-C41)/C42</f>
        <v>-0.28026047172564678</v>
      </c>
      <c r="D47" s="34"/>
      <c r="E47" s="74"/>
    </row>
    <row r="48" spans="1:5" s="16" customFormat="1" ht="12">
      <c r="A48" s="18"/>
      <c r="B48" s="10" t="s">
        <v>438</v>
      </c>
      <c r="C48" s="19">
        <f>C21</f>
        <v>0.6760353742819637</v>
      </c>
      <c r="D48" s="34"/>
      <c r="E48" s="74"/>
    </row>
    <row r="49" spans="1:9" s="16" customFormat="1" ht="13" thickBot="1">
      <c r="A49" s="18"/>
      <c r="B49" s="10" t="s">
        <v>465</v>
      </c>
      <c r="C49" s="19">
        <f>C48*C47</f>
        <v>-0.18946599289948732</v>
      </c>
      <c r="D49" s="34"/>
      <c r="E49" s="74"/>
    </row>
    <row r="50" spans="1:9" s="16" customFormat="1" ht="13" thickBot="1">
      <c r="A50" s="18"/>
      <c r="B50" s="27" t="s">
        <v>439</v>
      </c>
      <c r="C50" s="587">
        <f>C43+C49*C44</f>
        <v>3.7358777914340817</v>
      </c>
      <c r="D50" s="34"/>
      <c r="E50" s="74"/>
    </row>
    <row r="51" spans="1:9" s="16" customFormat="1" ht="14" customHeight="1">
      <c r="A51" s="18"/>
      <c r="B51" s="74"/>
      <c r="C51" s="74"/>
      <c r="D51" s="74"/>
      <c r="E51" s="74"/>
    </row>
    <row r="52" spans="1:9" s="16" customFormat="1" ht="12">
      <c r="A52" s="18" t="s">
        <v>2</v>
      </c>
      <c r="B52" s="21" t="s">
        <v>490</v>
      </c>
      <c r="C52" s="588"/>
      <c r="D52" s="34"/>
      <c r="E52" s="74"/>
    </row>
    <row r="53" spans="1:9" s="16" customFormat="1" ht="14" customHeight="1">
      <c r="A53" s="18"/>
      <c r="B53" s="21" t="s">
        <v>491</v>
      </c>
      <c r="C53" s="601"/>
      <c r="D53" s="74"/>
      <c r="E53" s="74"/>
    </row>
    <row r="54" spans="1:9" s="16" customFormat="1" ht="14" customHeight="1">
      <c r="A54" s="18"/>
      <c r="B54" s="10"/>
      <c r="C54" s="601"/>
      <c r="D54" s="650"/>
      <c r="E54" s="650"/>
    </row>
    <row r="55" spans="1:9" s="16" customFormat="1" ht="14" customHeight="1">
      <c r="A55" s="18"/>
      <c r="B55" s="10"/>
      <c r="C55" s="601"/>
      <c r="D55" s="650"/>
      <c r="E55" s="650"/>
    </row>
    <row r="56" spans="1:9" s="16" customFormat="1" ht="14" customHeight="1">
      <c r="A56" s="15" t="s">
        <v>251</v>
      </c>
      <c r="B56" s="641"/>
      <c r="C56" s="675" t="s">
        <v>394</v>
      </c>
      <c r="D56" s="675"/>
      <c r="E56" s="675"/>
      <c r="F56" s="675"/>
    </row>
    <row r="57" spans="1:9" s="16" customFormat="1" ht="14" customHeight="1">
      <c r="B57" s="603"/>
      <c r="C57" s="604">
        <v>2</v>
      </c>
      <c r="D57" s="604">
        <v>11</v>
      </c>
      <c r="E57" s="604">
        <v>20</v>
      </c>
      <c r="F57" s="604">
        <v>35</v>
      </c>
      <c r="G57" s="30">
        <v>57</v>
      </c>
    </row>
    <row r="58" spans="1:9" s="16" customFormat="1" ht="14" customHeight="1">
      <c r="A58" s="18"/>
      <c r="B58" s="10"/>
      <c r="C58" s="639"/>
      <c r="D58" s="639"/>
      <c r="E58" s="639"/>
      <c r="F58" s="639"/>
      <c r="G58" s="639"/>
      <c r="H58" s="44"/>
      <c r="I58" s="605"/>
    </row>
    <row r="59" spans="1:9" s="16" customFormat="1" ht="14" customHeight="1" thickBot="1">
      <c r="A59" s="18"/>
      <c r="B59" s="10" t="s">
        <v>471</v>
      </c>
      <c r="C59" s="527">
        <f>C57</f>
        <v>2</v>
      </c>
      <c r="D59" s="639">
        <f t="shared" ref="D59:G59" si="6">D57</f>
        <v>11</v>
      </c>
      <c r="E59" s="639">
        <f t="shared" si="6"/>
        <v>20</v>
      </c>
      <c r="F59" s="639">
        <f t="shared" si="6"/>
        <v>35</v>
      </c>
      <c r="G59" s="639">
        <f t="shared" si="6"/>
        <v>57</v>
      </c>
      <c r="H59" s="608">
        <f>AVERAGE(C59:G59)</f>
        <v>25</v>
      </c>
      <c r="I59" s="605" t="s">
        <v>397</v>
      </c>
    </row>
    <row r="60" spans="1:9" s="16" customFormat="1" ht="14" customHeight="1" thickBot="1">
      <c r="A60" s="18"/>
      <c r="B60" s="27" t="s">
        <v>472</v>
      </c>
      <c r="C60" s="647">
        <f>C59-$H$59</f>
        <v>-23</v>
      </c>
      <c r="D60" s="647">
        <f>D59-$H$59</f>
        <v>-14</v>
      </c>
      <c r="E60" s="647">
        <f>E59-$H$59</f>
        <v>-5</v>
      </c>
      <c r="F60" s="647">
        <f>F59-$H$59</f>
        <v>10</v>
      </c>
      <c r="G60" s="648">
        <f>G59-$H$59</f>
        <v>32</v>
      </c>
      <c r="H60" s="608">
        <f>AVERAGE(C60:G60)</f>
        <v>0</v>
      </c>
      <c r="I60" s="605" t="s">
        <v>398</v>
      </c>
    </row>
    <row r="61" spans="1:9" s="16" customFormat="1" ht="14" customHeight="1">
      <c r="A61" s="18"/>
      <c r="B61" s="10"/>
      <c r="C61" s="639"/>
      <c r="D61" s="639"/>
      <c r="E61" s="639"/>
      <c r="F61" s="639"/>
      <c r="G61" s="639"/>
      <c r="H61" s="608"/>
      <c r="I61" s="605"/>
    </row>
    <row r="62" spans="1:9" s="16" customFormat="1" ht="14" customHeight="1">
      <c r="A62" s="18"/>
      <c r="B62" s="10"/>
      <c r="C62" s="639"/>
      <c r="D62" s="639"/>
      <c r="E62" s="639"/>
      <c r="F62" s="639"/>
      <c r="G62" s="639"/>
      <c r="H62" s="44"/>
      <c r="I62" s="605"/>
    </row>
    <row r="63" spans="1:9" s="16" customFormat="1" ht="14" customHeight="1">
      <c r="A63" s="15" t="s">
        <v>483</v>
      </c>
      <c r="B63" s="10" t="s">
        <v>484</v>
      </c>
      <c r="C63" s="23">
        <v>30</v>
      </c>
      <c r="D63" s="74"/>
      <c r="E63" s="74"/>
    </row>
    <row r="64" spans="1:9" s="16" customFormat="1" ht="14" customHeight="1">
      <c r="A64" s="18"/>
      <c r="B64" s="10" t="s">
        <v>393</v>
      </c>
      <c r="C64" s="23">
        <v>4</v>
      </c>
      <c r="D64" s="74"/>
      <c r="E64" s="74"/>
    </row>
    <row r="65" spans="1:8" s="16" customFormat="1" ht="14" customHeight="1">
      <c r="A65" s="18"/>
      <c r="B65" s="10"/>
      <c r="C65" s="23"/>
      <c r="D65" s="641"/>
      <c r="E65" s="641"/>
    </row>
    <row r="66" spans="1:8" s="16" customFormat="1" ht="14" customHeight="1">
      <c r="A66" s="15"/>
      <c r="B66" s="74"/>
      <c r="C66" s="675" t="s">
        <v>394</v>
      </c>
      <c r="D66" s="675"/>
      <c r="E66" s="675"/>
      <c r="F66" s="675"/>
    </row>
    <row r="67" spans="1:8" s="16" customFormat="1" ht="14" customHeight="1" thickBot="1">
      <c r="A67" s="18"/>
      <c r="B67" s="642"/>
      <c r="C67" s="604">
        <v>11</v>
      </c>
      <c r="D67" s="604">
        <v>17</v>
      </c>
      <c r="E67" s="30">
        <v>23</v>
      </c>
      <c r="F67" s="604">
        <v>29</v>
      </c>
      <c r="G67" s="639"/>
    </row>
    <row r="68" spans="1:8" s="16" customFormat="1" ht="14" customHeight="1" thickBot="1">
      <c r="A68" s="18"/>
      <c r="B68" s="10" t="s">
        <v>466</v>
      </c>
      <c r="C68" s="653">
        <v>13</v>
      </c>
      <c r="D68" s="654">
        <v>16</v>
      </c>
      <c r="E68" s="654">
        <v>18</v>
      </c>
      <c r="F68" s="654">
        <v>24</v>
      </c>
      <c r="G68" s="639"/>
    </row>
    <row r="69" spans="1:8" s="16" customFormat="1" ht="14" customHeight="1">
      <c r="A69" s="18"/>
      <c r="B69" s="10" t="s">
        <v>485</v>
      </c>
      <c r="C69" s="652">
        <v>-3</v>
      </c>
      <c r="D69" s="652">
        <v>-1</v>
      </c>
      <c r="E69" s="112">
        <v>1</v>
      </c>
      <c r="F69" s="652">
        <v>3</v>
      </c>
      <c r="G69" s="639"/>
    </row>
    <row r="70" spans="1:8" s="16" customFormat="1" ht="14" customHeight="1">
      <c r="A70" s="18"/>
      <c r="B70" s="10" t="s">
        <v>467</v>
      </c>
      <c r="C70" s="639">
        <f>C68*$C$63</f>
        <v>390</v>
      </c>
      <c r="D70" s="639">
        <f>D68*$C$63</f>
        <v>480</v>
      </c>
      <c r="E70" s="639">
        <f>E68*$C$63</f>
        <v>540</v>
      </c>
      <c r="F70" s="639">
        <f>F68*$C$63</f>
        <v>720</v>
      </c>
      <c r="G70" s="44">
        <f>SUM(C70:F70)</f>
        <v>2130</v>
      </c>
      <c r="H70" s="605" t="s">
        <v>395</v>
      </c>
    </row>
    <row r="71" spans="1:8" s="16" customFormat="1" ht="14" customHeight="1">
      <c r="A71" s="18"/>
      <c r="B71" s="10"/>
      <c r="C71" s="639"/>
      <c r="D71" s="639"/>
      <c r="E71" s="639"/>
      <c r="G71" s="606">
        <f>C63*C64</f>
        <v>120</v>
      </c>
      <c r="H71" s="605" t="s">
        <v>396</v>
      </c>
    </row>
    <row r="72" spans="1:8" s="16" customFormat="1" ht="14" customHeight="1">
      <c r="A72" s="18"/>
      <c r="B72" s="10" t="s">
        <v>355</v>
      </c>
      <c r="C72" s="529">
        <f>G70</f>
        <v>2130</v>
      </c>
      <c r="D72" s="74"/>
      <c r="E72" s="74"/>
    </row>
    <row r="73" spans="1:8" s="16" customFormat="1" ht="14" customHeight="1">
      <c r="A73" s="18"/>
      <c r="B73" s="607" t="s">
        <v>468</v>
      </c>
      <c r="C73" s="529">
        <f>SUMSQ(C70:F70)</f>
        <v>1192500</v>
      </c>
      <c r="D73" s="74"/>
      <c r="E73" s="74"/>
    </row>
    <row r="74" spans="1:8" s="16" customFormat="1" ht="14" customHeight="1">
      <c r="A74" s="580"/>
      <c r="B74" s="607" t="s">
        <v>469</v>
      </c>
      <c r="C74" s="529">
        <f>SUM(C68:F68)</f>
        <v>71</v>
      </c>
      <c r="D74" s="74"/>
      <c r="E74" s="74"/>
    </row>
    <row r="75" spans="1:8" s="16" customFormat="1" ht="14" customHeight="1">
      <c r="A75" s="18"/>
      <c r="B75" s="607" t="s">
        <v>470</v>
      </c>
      <c r="C75" s="529">
        <f>SUMSQ(C68:F68)</f>
        <v>1325</v>
      </c>
      <c r="D75" s="74"/>
      <c r="E75" s="74"/>
    </row>
    <row r="76" spans="1:8" s="16" customFormat="1" ht="14" customHeight="1">
      <c r="A76" s="18"/>
      <c r="B76" s="607" t="s">
        <v>486</v>
      </c>
      <c r="C76" s="529">
        <f>SUM(C69:F69)</f>
        <v>0</v>
      </c>
      <c r="D76" s="74"/>
      <c r="E76" s="74"/>
    </row>
    <row r="77" spans="1:8" s="16" customFormat="1" ht="14" customHeight="1">
      <c r="A77" s="18"/>
      <c r="B77" s="607" t="s">
        <v>487</v>
      </c>
      <c r="C77" s="529">
        <f>SUMSQ(C69:F69)</f>
        <v>20</v>
      </c>
      <c r="D77" s="74"/>
      <c r="E77" s="74"/>
    </row>
    <row r="78" spans="1:8" s="16" customFormat="1" ht="14" customHeight="1">
      <c r="A78" s="18"/>
      <c r="B78" s="607" t="s">
        <v>488</v>
      </c>
      <c r="C78" s="649">
        <f>SUMPRODUCT(C69:F69,C68:F68)</f>
        <v>35</v>
      </c>
      <c r="D78" s="74"/>
      <c r="E78" s="74"/>
    </row>
    <row r="79" spans="1:8" s="16" customFormat="1" ht="14" customHeight="1">
      <c r="A79" s="18"/>
      <c r="B79" s="74"/>
      <c r="C79" s="74"/>
      <c r="D79" s="74"/>
      <c r="E79" s="74"/>
    </row>
    <row r="80" spans="1:8" s="16" customFormat="1" ht="14" customHeight="1" thickBot="1">
      <c r="A80" s="18"/>
      <c r="B80" s="74"/>
      <c r="C80" s="74"/>
      <c r="D80" s="74"/>
      <c r="E80" s="74"/>
    </row>
    <row r="81" spans="1:8" s="16" customFormat="1" ht="14" customHeight="1">
      <c r="A81" s="18" t="s">
        <v>390</v>
      </c>
      <c r="B81" s="609" t="s">
        <v>399</v>
      </c>
      <c r="C81" s="76"/>
      <c r="D81" s="76"/>
      <c r="E81" s="76"/>
      <c r="F81" s="610"/>
      <c r="G81" s="610"/>
      <c r="H81" s="611"/>
    </row>
    <row r="82" spans="1:8" s="74" customFormat="1" ht="14" customHeight="1">
      <c r="A82" s="612"/>
      <c r="B82" s="613" t="s">
        <v>400</v>
      </c>
      <c r="C82" s="31" t="s">
        <v>401</v>
      </c>
      <c r="D82" s="31" t="s">
        <v>402</v>
      </c>
      <c r="E82" s="31" t="s">
        <v>403</v>
      </c>
      <c r="F82" s="31" t="s">
        <v>405</v>
      </c>
      <c r="G82" s="31" t="s">
        <v>406</v>
      </c>
      <c r="H82" s="614" t="s">
        <v>404</v>
      </c>
    </row>
    <row r="83" spans="1:8" s="21" customFormat="1" ht="14" customHeight="1">
      <c r="A83" s="615"/>
      <c r="B83" s="102" t="s">
        <v>407</v>
      </c>
      <c r="C83" s="639">
        <f>C64-1</f>
        <v>3</v>
      </c>
      <c r="D83" s="639">
        <f>SUMSQ(C70:F70)/C63-G70^2/G71</f>
        <v>1942.5</v>
      </c>
      <c r="E83" s="641"/>
      <c r="F83" s="641"/>
      <c r="G83" s="641"/>
      <c r="H83" s="97"/>
    </row>
    <row r="84" spans="1:8" s="10" customFormat="1" ht="14" customHeight="1">
      <c r="A84" s="18"/>
      <c r="B84" s="26" t="s">
        <v>408</v>
      </c>
      <c r="C84" s="640">
        <v>1</v>
      </c>
      <c r="D84" s="640">
        <f>(C63*C78^2)/C77</f>
        <v>1837.5</v>
      </c>
      <c r="E84" s="640">
        <f>D84/C84</f>
        <v>1837.5</v>
      </c>
      <c r="F84" s="641">
        <f>E84/E86</f>
        <v>9.1875</v>
      </c>
      <c r="G84" s="641">
        <f>FINV(0.05,C84,C86)</f>
        <v>3.9228793616170767</v>
      </c>
      <c r="H84" s="646">
        <f>D84/D83</f>
        <v>0.94594594594594594</v>
      </c>
    </row>
    <row r="85" spans="1:8" s="10" customFormat="1" ht="14" customHeight="1">
      <c r="A85" s="18"/>
      <c r="B85" s="26" t="s">
        <v>409</v>
      </c>
      <c r="C85" s="640">
        <f>C83-C84</f>
        <v>2</v>
      </c>
      <c r="D85" s="640">
        <f>D83-D84</f>
        <v>105</v>
      </c>
      <c r="E85" s="640">
        <f>D85/C85</f>
        <v>52.5</v>
      </c>
      <c r="F85" s="641">
        <f>E85/E86</f>
        <v>0.26250000000000001</v>
      </c>
      <c r="G85" s="641">
        <f>FINV(0.05,C85,C86)</f>
        <v>3.0744472641746849</v>
      </c>
      <c r="H85" s="646">
        <f>D85/D83</f>
        <v>5.4054054054054057E-2</v>
      </c>
    </row>
    <row r="86" spans="1:8" s="21" customFormat="1" ht="14" customHeight="1">
      <c r="A86" s="615"/>
      <c r="B86" s="102" t="s">
        <v>410</v>
      </c>
      <c r="C86" s="639">
        <f>(C63-1)*C64</f>
        <v>116</v>
      </c>
      <c r="D86" s="639">
        <f>C86*E86</f>
        <v>23200</v>
      </c>
      <c r="E86" s="639">
        <v>200</v>
      </c>
      <c r="F86" s="641"/>
      <c r="G86" s="641"/>
      <c r="H86" s="97"/>
    </row>
    <row r="87" spans="1:8" s="21" customFormat="1" ht="14" customHeight="1" thickBot="1">
      <c r="A87" s="615"/>
      <c r="B87" s="36" t="s">
        <v>197</v>
      </c>
      <c r="C87" s="616">
        <f>C83+C86</f>
        <v>119</v>
      </c>
      <c r="D87" s="616">
        <f>D83+D86</f>
        <v>25142.5</v>
      </c>
      <c r="E87" s="616"/>
      <c r="F87" s="617"/>
      <c r="G87" s="617"/>
      <c r="H87" s="121"/>
    </row>
    <row r="88" spans="1:8" s="16" customFormat="1" ht="14" customHeight="1" thickBot="1">
      <c r="A88" s="18"/>
      <c r="B88" s="74"/>
      <c r="C88" s="527"/>
      <c r="D88" s="74"/>
      <c r="E88" s="74"/>
    </row>
    <row r="89" spans="1:8" s="16" customFormat="1" ht="14" customHeight="1">
      <c r="A89" s="618" t="s">
        <v>391</v>
      </c>
      <c r="B89" s="600" t="s">
        <v>411</v>
      </c>
      <c r="C89" s="619">
        <f>H84</f>
        <v>0.94594594594594594</v>
      </c>
      <c r="D89" s="620" t="s">
        <v>412</v>
      </c>
      <c r="E89" s="74"/>
    </row>
    <row r="90" spans="1:8" s="16" customFormat="1" ht="14" customHeight="1" thickBot="1">
      <c r="A90" s="618"/>
      <c r="B90" s="37" t="s">
        <v>411</v>
      </c>
      <c r="C90" s="20">
        <f>H85</f>
        <v>5.4054054054054057E-2</v>
      </c>
      <c r="D90" s="621" t="s">
        <v>413</v>
      </c>
      <c r="E90" s="74"/>
    </row>
    <row r="91" spans="1:8" s="16" customFormat="1" ht="14" customHeight="1">
      <c r="A91" s="18"/>
      <c r="B91" s="74"/>
      <c r="C91" s="527"/>
      <c r="D91" s="74"/>
      <c r="E91" s="74"/>
    </row>
    <row r="92" spans="1:8" s="16" customFormat="1" ht="14" customHeight="1" thickBot="1">
      <c r="A92" s="18"/>
      <c r="B92" s="10"/>
      <c r="C92" s="74"/>
      <c r="D92" s="74"/>
      <c r="E92" s="74"/>
    </row>
    <row r="93" spans="1:8" s="16" customFormat="1" ht="14" customHeight="1">
      <c r="A93" s="18" t="s">
        <v>392</v>
      </c>
      <c r="B93" s="600" t="s">
        <v>473</v>
      </c>
      <c r="C93" s="117">
        <f>((C64*C78-C74*C76)^2)/((C64*C75-C74^2)*(C64*C77-C76^2))</f>
        <v>0.94594594594594594</v>
      </c>
      <c r="D93" s="528"/>
      <c r="E93" s="74"/>
    </row>
    <row r="94" spans="1:8" s="16" customFormat="1" ht="14" customHeight="1" thickBot="1">
      <c r="A94" s="18"/>
      <c r="B94" s="676" t="s">
        <v>414</v>
      </c>
      <c r="C94" s="677"/>
      <c r="D94" s="528"/>
      <c r="E94" s="74"/>
    </row>
    <row r="95" spans="1:8" s="16" customFormat="1" ht="14" customHeight="1" thickBot="1">
      <c r="A95" s="18"/>
      <c r="B95" s="641"/>
      <c r="C95" s="641"/>
      <c r="D95" s="641"/>
      <c r="E95" s="641"/>
    </row>
    <row r="96" spans="1:8" ht="13" thickBot="1">
      <c r="A96" s="18" t="s">
        <v>220</v>
      </c>
      <c r="B96" s="644" t="s">
        <v>489</v>
      </c>
      <c r="C96" s="645">
        <f>(D83-C83*E86)/(D87+E86)</f>
        <v>5.29742527374963E-2</v>
      </c>
      <c r="D96" s="622"/>
      <c r="E96" s="622"/>
    </row>
    <row r="97" spans="1:8" ht="13">
      <c r="A97" s="138"/>
      <c r="B97" s="73"/>
      <c r="C97" s="73"/>
      <c r="D97" s="73"/>
      <c r="E97" s="73"/>
      <c r="F97" s="259"/>
      <c r="G97" s="259"/>
      <c r="H97" s="259"/>
    </row>
    <row r="98" spans="1:8" ht="13">
      <c r="A98" s="138"/>
      <c r="B98" s="643"/>
      <c r="C98" s="628"/>
      <c r="D98" s="628"/>
      <c r="E98" s="628"/>
      <c r="F98" s="261"/>
      <c r="G98" s="261"/>
      <c r="H98" s="261"/>
    </row>
    <row r="99" spans="1:8" ht="13">
      <c r="A99" s="138"/>
      <c r="B99" s="622"/>
      <c r="C99" s="622"/>
      <c r="D99" s="622"/>
      <c r="E99" s="622"/>
    </row>
    <row r="100" spans="1:8" ht="13">
      <c r="A100" s="138"/>
      <c r="B100" s="622"/>
      <c r="C100" s="622"/>
      <c r="D100" s="622"/>
      <c r="E100" s="622"/>
    </row>
    <row r="101" spans="1:8" ht="13">
      <c r="A101" s="135"/>
      <c r="B101" s="622"/>
      <c r="C101" s="622"/>
      <c r="D101" s="622"/>
      <c r="E101" s="622"/>
    </row>
    <row r="102" spans="1:8" ht="13">
      <c r="A102" s="583"/>
      <c r="B102" s="623"/>
      <c r="C102" s="624"/>
      <c r="D102" s="624"/>
      <c r="E102" s="624"/>
      <c r="F102" s="624"/>
      <c r="G102" s="624"/>
      <c r="H102" s="624"/>
    </row>
    <row r="103" spans="1:8" ht="13">
      <c r="A103" s="138"/>
      <c r="B103" s="622"/>
      <c r="C103" s="622"/>
      <c r="D103" s="622"/>
      <c r="E103" s="622"/>
    </row>
    <row r="104" spans="1:8" ht="13">
      <c r="A104" s="583"/>
      <c r="B104" s="623"/>
      <c r="C104" s="624"/>
      <c r="D104" s="624"/>
      <c r="E104" s="624"/>
      <c r="F104" s="624"/>
      <c r="G104" s="624"/>
      <c r="H104" s="624"/>
    </row>
    <row r="105" spans="1:8" s="10" customFormat="1" ht="12">
      <c r="A105" s="625"/>
      <c r="B105" s="584"/>
      <c r="C105" s="585"/>
      <c r="D105" s="584"/>
      <c r="E105" s="74"/>
    </row>
    <row r="106" spans="1:8" s="10" customFormat="1" ht="12">
      <c r="B106" s="112"/>
      <c r="C106" s="528"/>
      <c r="D106" s="528" t="s">
        <v>492</v>
      </c>
      <c r="E106" s="527"/>
    </row>
    <row r="107" spans="1:8" s="10" customFormat="1" ht="12">
      <c r="C107" s="529"/>
    </row>
    <row r="108" spans="1:8" s="10" customFormat="1" ht="12">
      <c r="C108" s="582"/>
      <c r="D108" s="21"/>
    </row>
    <row r="109" spans="1:8" s="10" customFormat="1" ht="12">
      <c r="A109" s="625"/>
      <c r="C109" s="582"/>
      <c r="D109" s="21"/>
    </row>
    <row r="110" spans="1:8" s="10" customFormat="1" ht="12">
      <c r="A110" s="625"/>
      <c r="C110" s="529"/>
    </row>
    <row r="111" spans="1:8" ht="17" customHeight="1">
      <c r="A111" s="14"/>
      <c r="B111" s="89"/>
    </row>
    <row r="112" spans="1:8" ht="17" customHeight="1">
      <c r="A112" s="626"/>
      <c r="B112" s="89"/>
    </row>
    <row r="113" spans="1:5" ht="17" customHeight="1">
      <c r="A113" s="626"/>
      <c r="B113" s="89"/>
    </row>
    <row r="114" spans="1:5" ht="17" customHeight="1">
      <c r="A114" s="13"/>
    </row>
    <row r="117" spans="1:5" ht="17" customHeight="1">
      <c r="C117" s="73"/>
      <c r="D117" s="73"/>
      <c r="E117" s="73"/>
    </row>
    <row r="118" spans="1:5" ht="17" customHeight="1">
      <c r="C118" s="73"/>
      <c r="D118" s="73"/>
      <c r="E118" s="73"/>
    </row>
    <row r="119" spans="1:5" ht="17" customHeight="1">
      <c r="B119" s="8"/>
      <c r="C119" s="9"/>
      <c r="D119" s="73"/>
      <c r="E119" s="73"/>
    </row>
    <row r="120" spans="1:5" ht="17" customHeight="1">
      <c r="B120" s="8"/>
      <c r="C120" s="9"/>
      <c r="D120" s="73"/>
      <c r="E120" s="73"/>
    </row>
    <row r="121" spans="1:5" ht="17" customHeight="1">
      <c r="B121" s="8"/>
      <c r="C121" s="626"/>
      <c r="D121" s="73"/>
      <c r="E121" s="73"/>
    </row>
    <row r="122" spans="1:5" ht="17" customHeight="1">
      <c r="B122" s="8"/>
      <c r="C122" s="626"/>
      <c r="D122" s="73"/>
      <c r="E122" s="73"/>
    </row>
    <row r="123" spans="1:5" ht="17" customHeight="1">
      <c r="B123" s="8"/>
      <c r="C123" s="626"/>
      <c r="D123" s="73"/>
      <c r="E123" s="73"/>
    </row>
    <row r="124" spans="1:5" ht="17" customHeight="1">
      <c r="B124" s="8"/>
      <c r="C124" s="626"/>
      <c r="D124" s="73"/>
      <c r="E124" s="73"/>
    </row>
    <row r="125" spans="1:5" ht="17" customHeight="1">
      <c r="B125" s="8"/>
      <c r="C125" s="9"/>
      <c r="D125" s="73"/>
      <c r="E125" s="73"/>
    </row>
    <row r="126" spans="1:5" ht="17" customHeight="1">
      <c r="B126" s="8"/>
      <c r="C126" s="9"/>
      <c r="D126" s="73"/>
      <c r="E126" s="73"/>
    </row>
    <row r="127" spans="1:5" ht="17" customHeight="1">
      <c r="B127" s="8"/>
      <c r="C127" s="626"/>
      <c r="D127" s="73"/>
      <c r="E127" s="73"/>
    </row>
    <row r="128" spans="1:5" ht="17" customHeight="1">
      <c r="B128" s="8"/>
      <c r="C128" s="626"/>
      <c r="D128" s="73"/>
      <c r="E128" s="73"/>
    </row>
    <row r="129" spans="1:5" ht="17" customHeight="1">
      <c r="B129" s="8"/>
      <c r="C129" s="626"/>
      <c r="D129" s="73"/>
      <c r="E129" s="73"/>
    </row>
    <row r="130" spans="1:5" ht="17" customHeight="1">
      <c r="B130" s="628"/>
      <c r="C130" s="9"/>
      <c r="D130" s="73"/>
      <c r="E130" s="73"/>
    </row>
    <row r="131" spans="1:5" ht="17" customHeight="1">
      <c r="B131" s="8"/>
      <c r="C131" s="9"/>
      <c r="D131" s="73"/>
      <c r="E131" s="73"/>
    </row>
    <row r="132" spans="1:5" ht="17" customHeight="1">
      <c r="B132" s="8"/>
      <c r="C132" s="9"/>
      <c r="D132" s="73"/>
      <c r="E132" s="73"/>
    </row>
    <row r="133" spans="1:5" ht="17" customHeight="1">
      <c r="B133" s="8"/>
      <c r="C133" s="626"/>
      <c r="D133" s="73"/>
      <c r="E133" s="73"/>
    </row>
    <row r="134" spans="1:5" ht="17" customHeight="1">
      <c r="B134" s="8"/>
      <c r="C134" s="626"/>
      <c r="D134" s="73"/>
      <c r="E134" s="73"/>
    </row>
    <row r="135" spans="1:5" ht="17" customHeight="1">
      <c r="B135" s="8"/>
      <c r="C135" s="626"/>
      <c r="D135" s="73"/>
      <c r="E135" s="73"/>
    </row>
    <row r="137" spans="1:5" ht="17" customHeight="1">
      <c r="B137" s="8"/>
      <c r="C137" s="9"/>
      <c r="D137" s="73"/>
      <c r="E137" s="73"/>
    </row>
    <row r="138" spans="1:5" ht="17" customHeight="1">
      <c r="B138" s="8"/>
      <c r="C138" s="9"/>
      <c r="D138" s="73"/>
      <c r="E138" s="73"/>
    </row>
    <row r="139" spans="1:5" ht="17" customHeight="1">
      <c r="B139" s="8"/>
      <c r="C139" s="626"/>
      <c r="D139" s="73"/>
      <c r="E139" s="73"/>
    </row>
    <row r="140" spans="1:5" ht="17" customHeight="1">
      <c r="B140" s="8"/>
      <c r="C140" s="626"/>
      <c r="D140" s="73"/>
      <c r="E140" s="73"/>
    </row>
    <row r="141" spans="1:5" ht="17" customHeight="1">
      <c r="B141" s="8"/>
      <c r="C141" s="626"/>
      <c r="D141" s="73"/>
      <c r="E141" s="73"/>
    </row>
    <row r="143" spans="1:5" ht="17" customHeight="1">
      <c r="B143" s="628"/>
    </row>
    <row r="144" spans="1:5" ht="17" customHeight="1">
      <c r="A144" s="13"/>
      <c r="B144" s="628"/>
    </row>
    <row r="145" spans="1:6" ht="17" customHeight="1">
      <c r="A145" s="13"/>
      <c r="B145" s="85"/>
    </row>
    <row r="146" spans="1:6" ht="17" customHeight="1">
      <c r="A146" s="13"/>
      <c r="B146" s="85"/>
    </row>
    <row r="147" spans="1:6" ht="17" customHeight="1">
      <c r="B147" s="8"/>
      <c r="C147" s="579"/>
    </row>
    <row r="148" spans="1:6" ht="17" customHeight="1">
      <c r="B148" s="8"/>
      <c r="C148" s="579"/>
    </row>
    <row r="149" spans="1:6" ht="17" customHeight="1">
      <c r="B149" s="8"/>
      <c r="C149" s="579"/>
    </row>
    <row r="150" spans="1:6" ht="17" customHeight="1">
      <c r="B150" s="8"/>
      <c r="C150" s="579"/>
    </row>
    <row r="151" spans="1:6" ht="17" customHeight="1">
      <c r="B151" s="8"/>
      <c r="C151" s="579"/>
      <c r="D151" s="88"/>
    </row>
    <row r="152" spans="1:6" ht="17" customHeight="1">
      <c r="B152" s="8"/>
      <c r="C152" s="579"/>
      <c r="D152" s="88"/>
    </row>
    <row r="153" spans="1:6" ht="17" customHeight="1">
      <c r="B153" s="8"/>
      <c r="C153" s="579"/>
      <c r="D153" s="88"/>
    </row>
    <row r="154" spans="1:6" ht="17" customHeight="1">
      <c r="B154" s="8"/>
      <c r="C154" s="579"/>
      <c r="D154" s="88"/>
    </row>
    <row r="155" spans="1:6" ht="17" customHeight="1">
      <c r="B155" s="8"/>
      <c r="C155" s="579"/>
      <c r="D155" s="88"/>
    </row>
    <row r="156" spans="1:6" ht="17" customHeight="1">
      <c r="B156" s="8"/>
      <c r="C156" s="579"/>
      <c r="D156" s="88"/>
    </row>
    <row r="157" spans="1:6" ht="17" customHeight="1">
      <c r="B157" s="8"/>
    </row>
    <row r="158" spans="1:6" ht="17" customHeight="1">
      <c r="A158" s="13"/>
      <c r="B158" s="628"/>
    </row>
    <row r="159" spans="1:6" ht="17" customHeight="1">
      <c r="A159" s="13"/>
      <c r="B159" s="8"/>
      <c r="D159" s="622"/>
      <c r="E159" s="622"/>
      <c r="F159" s="622"/>
    </row>
    <row r="160" spans="1:6" ht="17" customHeight="1">
      <c r="A160" s="13"/>
      <c r="B160" s="628"/>
      <c r="D160" s="622"/>
      <c r="E160" s="622"/>
      <c r="F160" s="622"/>
    </row>
    <row r="161" spans="1:7" ht="17" customHeight="1">
      <c r="A161" s="13"/>
      <c r="B161" s="628"/>
      <c r="C161" s="629"/>
      <c r="D161" s="73"/>
      <c r="E161" s="73"/>
      <c r="F161" s="73"/>
      <c r="G161" s="73"/>
    </row>
    <row r="162" spans="1:7" ht="17" customHeight="1">
      <c r="A162" s="13"/>
      <c r="B162" s="628"/>
      <c r="C162" s="629"/>
      <c r="D162" s="73"/>
      <c r="E162" s="73"/>
      <c r="F162" s="73"/>
      <c r="G162" s="73"/>
    </row>
    <row r="163" spans="1:7" ht="17" customHeight="1">
      <c r="A163" s="13"/>
      <c r="B163" s="628"/>
      <c r="C163" s="73"/>
      <c r="D163" s="73"/>
      <c r="E163" s="73"/>
      <c r="F163" s="73"/>
      <c r="G163" s="73"/>
    </row>
    <row r="164" spans="1:7" ht="17" customHeight="1">
      <c r="A164" s="13"/>
      <c r="B164" s="628"/>
      <c r="C164" s="622"/>
      <c r="D164" s="622"/>
      <c r="E164" s="622"/>
      <c r="F164" s="622"/>
    </row>
    <row r="165" spans="1:7" ht="17" customHeight="1">
      <c r="B165" s="8"/>
      <c r="D165" s="622"/>
      <c r="E165" s="622"/>
      <c r="F165" s="622"/>
    </row>
    <row r="166" spans="1:7" ht="17" customHeight="1">
      <c r="A166" s="13"/>
      <c r="B166" s="628"/>
      <c r="D166" s="622"/>
      <c r="E166" s="622"/>
      <c r="F166" s="622"/>
    </row>
    <row r="167" spans="1:7" ht="17" customHeight="1">
      <c r="A167" s="13"/>
      <c r="B167" s="628"/>
      <c r="C167" s="629"/>
      <c r="D167" s="628"/>
      <c r="E167" s="628"/>
      <c r="F167" s="628"/>
      <c r="G167" s="628"/>
    </row>
    <row r="168" spans="1:7" ht="17" customHeight="1">
      <c r="A168" s="13"/>
      <c r="B168" s="628"/>
      <c r="C168" s="629"/>
      <c r="D168" s="628"/>
      <c r="E168" s="628"/>
      <c r="F168" s="628"/>
      <c r="G168" s="628"/>
    </row>
    <row r="169" spans="1:7" ht="17" customHeight="1">
      <c r="A169" s="13"/>
      <c r="B169" s="628"/>
      <c r="C169" s="73"/>
      <c r="D169" s="628"/>
      <c r="E169" s="628"/>
      <c r="F169" s="628"/>
      <c r="G169" s="628"/>
    </row>
    <row r="170" spans="1:7" ht="17" customHeight="1">
      <c r="A170" s="13"/>
      <c r="B170" s="628"/>
      <c r="C170" s="622"/>
      <c r="D170" s="622"/>
      <c r="E170" s="622"/>
      <c r="F170" s="622"/>
    </row>
    <row r="171" spans="1:7" ht="17" customHeight="1">
      <c r="B171" s="8"/>
      <c r="C171" s="85"/>
      <c r="D171" s="622"/>
      <c r="E171" s="622"/>
      <c r="F171" s="622"/>
    </row>
    <row r="172" spans="1:7" ht="17" customHeight="1">
      <c r="B172" s="8"/>
      <c r="C172" s="85"/>
      <c r="D172" s="622"/>
      <c r="E172" s="622"/>
      <c r="F172" s="622"/>
    </row>
    <row r="173" spans="1:7" ht="17" customHeight="1">
      <c r="B173" s="630"/>
      <c r="C173" s="16"/>
      <c r="D173" s="19"/>
      <c r="E173" s="622"/>
      <c r="F173" s="622"/>
    </row>
    <row r="174" spans="1:7" ht="17" customHeight="1">
      <c r="B174" s="8"/>
      <c r="C174" s="85"/>
      <c r="D174" s="626"/>
      <c r="E174" s="622"/>
      <c r="F174" s="622"/>
    </row>
    <row r="175" spans="1:7" ht="17" customHeight="1">
      <c r="B175" s="631"/>
      <c r="C175" s="85"/>
      <c r="D175" s="85"/>
      <c r="E175" s="622"/>
      <c r="F175" s="622"/>
    </row>
    <row r="176" spans="1:7" ht="17" customHeight="1">
      <c r="A176" s="13"/>
      <c r="B176" s="8"/>
      <c r="C176" s="85"/>
      <c r="D176" s="626"/>
      <c r="E176" s="622"/>
      <c r="F176" s="622"/>
    </row>
    <row r="177" spans="1:6" ht="17" customHeight="1">
      <c r="B177" s="8"/>
      <c r="C177" s="85"/>
      <c r="D177" s="626"/>
      <c r="E177" s="622"/>
      <c r="F177" s="622"/>
    </row>
    <row r="178" spans="1:6" ht="17" customHeight="1">
      <c r="B178" s="628"/>
      <c r="C178" s="622"/>
      <c r="D178" s="626"/>
      <c r="E178" s="622"/>
      <c r="F178" s="622"/>
    </row>
    <row r="179" spans="1:6" ht="17" customHeight="1">
      <c r="B179" s="8"/>
      <c r="C179" s="85"/>
      <c r="D179" s="626"/>
      <c r="E179" s="622"/>
      <c r="F179" s="622"/>
    </row>
    <row r="180" spans="1:6" ht="17" customHeight="1">
      <c r="A180" s="13"/>
      <c r="B180" s="8"/>
      <c r="C180" s="85"/>
      <c r="D180" s="626"/>
      <c r="E180" s="622"/>
      <c r="F180" s="622"/>
    </row>
    <row r="181" spans="1:6" ht="17" customHeight="1">
      <c r="B181" s="8"/>
      <c r="C181" s="85"/>
      <c r="D181" s="85"/>
      <c r="E181" s="622"/>
      <c r="F181" s="622"/>
    </row>
    <row r="182" spans="1:6" ht="17" customHeight="1">
      <c r="A182" s="89"/>
      <c r="B182" s="628"/>
      <c r="C182" s="622"/>
      <c r="D182" s="626"/>
      <c r="E182" s="622"/>
      <c r="F182" s="622"/>
    </row>
    <row r="183" spans="1:6" ht="17" customHeight="1">
      <c r="B183" s="8"/>
      <c r="C183" s="85"/>
      <c r="D183" s="85"/>
      <c r="E183" s="622"/>
      <c r="F183" s="622"/>
    </row>
    <row r="184" spans="1:6" ht="17" customHeight="1">
      <c r="A184" s="13"/>
      <c r="B184" s="628"/>
      <c r="C184" s="622"/>
      <c r="D184" s="622"/>
      <c r="E184" s="622"/>
      <c r="F184" s="622"/>
    </row>
    <row r="185" spans="1:6" ht="17" customHeight="1">
      <c r="A185" s="13"/>
      <c r="B185" s="628"/>
    </row>
    <row r="186" spans="1:6" ht="17" customHeight="1">
      <c r="C186" s="73"/>
      <c r="D186" s="73"/>
      <c r="E186" s="73"/>
    </row>
    <row r="187" spans="1:6" ht="17" customHeight="1">
      <c r="A187" s="13"/>
      <c r="B187" s="628"/>
    </row>
    <row r="188" spans="1:6" ht="17" customHeight="1">
      <c r="A188" s="632"/>
      <c r="B188" s="8"/>
      <c r="C188" s="633"/>
      <c r="D188" s="73"/>
      <c r="E188" s="73"/>
    </row>
    <row r="189" spans="1:6" ht="17" customHeight="1">
      <c r="A189" s="13"/>
      <c r="B189" s="8"/>
      <c r="C189" s="633"/>
    </row>
    <row r="190" spans="1:6" ht="17" customHeight="1">
      <c r="B190" s="8"/>
      <c r="C190" s="633"/>
    </row>
    <row r="191" spans="1:6" ht="17" customHeight="1">
      <c r="B191" s="8"/>
      <c r="C191" s="9"/>
      <c r="D191" s="73"/>
      <c r="E191" s="73"/>
    </row>
    <row r="192" spans="1:6" ht="17" customHeight="1">
      <c r="B192" s="8"/>
      <c r="C192" s="9"/>
      <c r="D192" s="73"/>
      <c r="E192" s="73"/>
    </row>
    <row r="193" spans="2:6" ht="17" customHeight="1">
      <c r="B193" s="8"/>
      <c r="C193" s="633"/>
      <c r="D193" s="73"/>
      <c r="E193" s="73"/>
    </row>
    <row r="194" spans="2:6" ht="17" customHeight="1">
      <c r="B194" s="8"/>
      <c r="C194" s="9"/>
      <c r="D194" s="633"/>
      <c r="E194" s="73"/>
    </row>
    <row r="195" spans="2:6" ht="17" customHeight="1">
      <c r="B195" s="8"/>
      <c r="C195" s="9"/>
      <c r="D195" s="633"/>
      <c r="E195" s="73"/>
    </row>
    <row r="196" spans="2:6" ht="17" customHeight="1">
      <c r="B196" s="8"/>
      <c r="C196" s="9"/>
      <c r="D196" s="73"/>
      <c r="E196" s="73"/>
    </row>
    <row r="197" spans="2:6" ht="17" customHeight="1">
      <c r="B197" s="8"/>
      <c r="C197" s="626"/>
      <c r="D197" s="73"/>
      <c r="E197" s="73"/>
    </row>
    <row r="198" spans="2:6" ht="17" customHeight="1">
      <c r="B198" s="8"/>
      <c r="C198" s="7"/>
      <c r="D198" s="634"/>
      <c r="E198" s="634"/>
      <c r="F198" s="634"/>
    </row>
    <row r="199" spans="2:6" ht="17" customHeight="1">
      <c r="B199" s="8"/>
      <c r="C199" s="7"/>
      <c r="D199" s="634"/>
      <c r="E199" s="634"/>
      <c r="F199" s="634"/>
    </row>
    <row r="200" spans="2:6" ht="17" customHeight="1">
      <c r="B200" s="628"/>
      <c r="C200" s="9"/>
      <c r="D200" s="634"/>
      <c r="E200" s="634"/>
      <c r="F200" s="634"/>
    </row>
    <row r="201" spans="2:6" ht="17" customHeight="1">
      <c r="B201" s="89"/>
      <c r="C201" s="73"/>
      <c r="D201" s="73"/>
      <c r="E201" s="73"/>
    </row>
    <row r="202" spans="2:6" ht="17" customHeight="1">
      <c r="B202" s="8"/>
      <c r="C202" s="9"/>
      <c r="D202" s="634"/>
      <c r="E202" s="73"/>
    </row>
    <row r="203" spans="2:6" ht="17" customHeight="1">
      <c r="B203" s="8"/>
      <c r="C203" s="9"/>
      <c r="D203" s="73"/>
      <c r="E203" s="73"/>
    </row>
    <row r="204" spans="2:6" ht="17" customHeight="1">
      <c r="B204" s="8"/>
      <c r="C204" s="626"/>
      <c r="D204" s="73"/>
      <c r="E204" s="73"/>
    </row>
    <row r="205" spans="2:6" ht="17" customHeight="1">
      <c r="B205" s="8"/>
      <c r="C205" s="626"/>
      <c r="D205" s="73"/>
      <c r="E205" s="73"/>
    </row>
    <row r="206" spans="2:6" ht="17" customHeight="1">
      <c r="B206" s="8"/>
      <c r="C206" s="626"/>
      <c r="D206" s="73"/>
      <c r="E206" s="73"/>
    </row>
    <row r="208" spans="2:6" ht="17" customHeight="1">
      <c r="B208" s="89"/>
      <c r="C208" s="626"/>
      <c r="D208" s="73"/>
      <c r="E208" s="73"/>
    </row>
    <row r="209" spans="1:5" ht="17" customHeight="1">
      <c r="B209" s="8"/>
      <c r="C209" s="9"/>
      <c r="D209" s="73"/>
      <c r="E209" s="73"/>
    </row>
    <row r="210" spans="1:5" ht="17" customHeight="1">
      <c r="B210" s="8"/>
      <c r="C210" s="9"/>
      <c r="D210" s="73"/>
      <c r="E210" s="73"/>
    </row>
    <row r="211" spans="1:5" ht="17" customHeight="1">
      <c r="B211" s="8"/>
      <c r="C211" s="626"/>
      <c r="D211" s="73"/>
      <c r="E211" s="73"/>
    </row>
    <row r="212" spans="1:5" ht="17" customHeight="1">
      <c r="B212" s="8"/>
      <c r="C212" s="626"/>
      <c r="D212" s="73"/>
      <c r="E212" s="73"/>
    </row>
    <row r="213" spans="1:5" ht="17" customHeight="1">
      <c r="B213" s="8"/>
      <c r="C213" s="626"/>
      <c r="D213" s="73"/>
      <c r="E213" s="73"/>
    </row>
    <row r="215" spans="1:5" ht="17" customHeight="1">
      <c r="B215" s="89"/>
      <c r="C215" s="9"/>
      <c r="D215" s="73"/>
      <c r="E215" s="73"/>
    </row>
    <row r="216" spans="1:5" ht="17" customHeight="1">
      <c r="B216" s="8"/>
      <c r="C216" s="9"/>
      <c r="D216" s="73"/>
      <c r="E216" s="73"/>
    </row>
    <row r="217" spans="1:5" ht="17" customHeight="1">
      <c r="B217" s="8"/>
      <c r="C217" s="9"/>
      <c r="D217" s="73"/>
      <c r="E217" s="73"/>
    </row>
    <row r="218" spans="1:5" ht="17" customHeight="1">
      <c r="B218" s="8"/>
      <c r="C218" s="626"/>
      <c r="D218" s="73"/>
      <c r="E218" s="73"/>
    </row>
    <row r="219" spans="1:5" ht="17" customHeight="1">
      <c r="B219" s="8"/>
      <c r="C219" s="626"/>
      <c r="D219" s="73"/>
      <c r="E219" s="73"/>
    </row>
    <row r="220" spans="1:5" ht="17" customHeight="1">
      <c r="B220" s="8"/>
      <c r="C220" s="626"/>
      <c r="D220" s="73"/>
      <c r="E220" s="73"/>
    </row>
    <row r="221" spans="1:5" ht="17" customHeight="1">
      <c r="B221" s="8"/>
      <c r="C221" s="626"/>
      <c r="D221" s="73"/>
      <c r="E221" s="73"/>
    </row>
    <row r="222" spans="1:5" ht="17" customHeight="1">
      <c r="B222" s="628"/>
    </row>
    <row r="223" spans="1:5" ht="17" customHeight="1">
      <c r="A223" s="13"/>
      <c r="B223" s="628"/>
    </row>
    <row r="224" spans="1:5" ht="17" customHeight="1">
      <c r="B224" s="85"/>
    </row>
    <row r="225" spans="1:6" ht="17" customHeight="1">
      <c r="B225" s="85"/>
    </row>
    <row r="226" spans="1:6" ht="17" customHeight="1">
      <c r="B226" s="85"/>
    </row>
    <row r="227" spans="1:6" ht="17" customHeight="1">
      <c r="B227" s="85"/>
    </row>
    <row r="228" spans="1:6" ht="17" customHeight="1">
      <c r="B228" s="85"/>
    </row>
    <row r="229" spans="1:6" ht="17" customHeight="1">
      <c r="B229" s="85"/>
    </row>
    <row r="230" spans="1:6" ht="17" customHeight="1">
      <c r="B230" s="85"/>
      <c r="F230" s="579"/>
    </row>
    <row r="231" spans="1:6" ht="17" customHeight="1">
      <c r="B231" s="628"/>
    </row>
    <row r="232" spans="1:6" ht="17" customHeight="1">
      <c r="B232" s="7"/>
      <c r="C232" s="85"/>
    </row>
    <row r="233" spans="1:6" ht="17" customHeight="1">
      <c r="B233" s="7"/>
      <c r="C233" s="85"/>
    </row>
    <row r="234" spans="1:6" ht="17" customHeight="1">
      <c r="B234" s="7"/>
      <c r="C234" s="626"/>
      <c r="F234" s="579"/>
    </row>
    <row r="235" spans="1:6" ht="17" customHeight="1">
      <c r="B235" s="7"/>
      <c r="C235" s="626"/>
      <c r="F235" s="579"/>
    </row>
    <row r="236" spans="1:6" ht="17" customHeight="1">
      <c r="B236" s="7"/>
      <c r="C236" s="626"/>
      <c r="E236" s="627"/>
      <c r="F236" s="579"/>
    </row>
    <row r="237" spans="1:6" ht="17" customHeight="1">
      <c r="B237" s="85"/>
      <c r="E237" s="627"/>
    </row>
    <row r="238" spans="1:6" ht="17" customHeight="1">
      <c r="B238" s="628"/>
    </row>
    <row r="239" spans="1:6" ht="17" customHeight="1">
      <c r="A239" s="13"/>
      <c r="B239" s="628"/>
    </row>
    <row r="240" spans="1:6" ht="17" customHeight="1">
      <c r="B240" s="85"/>
    </row>
    <row r="241" spans="2:9" ht="17" customHeight="1">
      <c r="B241" s="8"/>
      <c r="C241" s="591"/>
    </row>
    <row r="242" spans="2:9" ht="17" customHeight="1">
      <c r="B242" s="8"/>
      <c r="C242" s="591"/>
    </row>
    <row r="243" spans="2:9" ht="17" customHeight="1">
      <c r="B243" s="8"/>
      <c r="C243" s="591"/>
    </row>
    <row r="244" spans="2:9" ht="17" customHeight="1">
      <c r="B244" s="8"/>
      <c r="C244" s="9"/>
    </row>
    <row r="245" spans="2:9" ht="17" customHeight="1">
      <c r="B245" s="7"/>
      <c r="C245" s="9"/>
    </row>
    <row r="246" spans="2:9" ht="17" customHeight="1">
      <c r="B246" s="89"/>
    </row>
    <row r="247" spans="2:9" ht="17" customHeight="1">
      <c r="B247" s="622"/>
      <c r="C247" s="622"/>
      <c r="D247" s="622"/>
      <c r="E247" s="622"/>
    </row>
    <row r="248" spans="2:9" ht="17" customHeight="1">
      <c r="B248" s="622"/>
      <c r="C248" s="73"/>
      <c r="D248" s="73"/>
      <c r="E248" s="73"/>
    </row>
    <row r="249" spans="2:9" ht="17" customHeight="1">
      <c r="B249" s="622"/>
      <c r="C249" s="73"/>
      <c r="D249" s="73"/>
      <c r="E249" s="73"/>
    </row>
    <row r="250" spans="2:9" ht="17" customHeight="1">
      <c r="B250" s="622"/>
      <c r="C250" s="73"/>
      <c r="D250" s="73"/>
      <c r="E250" s="73"/>
    </row>
    <row r="251" spans="2:9" ht="17" customHeight="1">
      <c r="B251" s="8"/>
    </row>
    <row r="252" spans="2:9" ht="17" customHeight="1">
      <c r="B252" s="89"/>
    </row>
    <row r="253" spans="2:9" ht="17" customHeight="1">
      <c r="B253" s="622"/>
      <c r="C253" s="622"/>
      <c r="D253" s="622"/>
      <c r="E253" s="622"/>
    </row>
    <row r="254" spans="2:9" ht="17" customHeight="1">
      <c r="B254" s="622"/>
      <c r="C254" s="628"/>
      <c r="D254" s="628"/>
      <c r="E254" s="628"/>
      <c r="G254" s="627"/>
      <c r="H254" s="627"/>
      <c r="I254" s="627"/>
    </row>
    <row r="255" spans="2:9" ht="17" customHeight="1">
      <c r="B255" s="622"/>
      <c r="C255" s="628"/>
      <c r="D255" s="628"/>
      <c r="E255" s="628"/>
      <c r="G255" s="627"/>
      <c r="H255" s="627"/>
      <c r="I255" s="627"/>
    </row>
    <row r="256" spans="2:9" ht="17" customHeight="1">
      <c r="B256" s="622"/>
      <c r="C256" s="628"/>
      <c r="D256" s="628"/>
      <c r="E256" s="628"/>
    </row>
    <row r="257" spans="1:9" ht="17" customHeight="1">
      <c r="B257" s="622"/>
      <c r="C257" s="73"/>
      <c r="D257" s="73"/>
      <c r="E257" s="73"/>
      <c r="F257" s="73"/>
    </row>
    <row r="258" spans="1:9" ht="17" customHeight="1">
      <c r="B258" s="628"/>
      <c r="C258" s="9"/>
    </row>
    <row r="259" spans="1:9" ht="17" customHeight="1">
      <c r="B259" s="628"/>
      <c r="C259" s="9"/>
    </row>
    <row r="260" spans="1:9" ht="17" customHeight="1">
      <c r="B260" s="628"/>
      <c r="C260" s="9"/>
    </row>
    <row r="261" spans="1:9" ht="17" customHeight="1">
      <c r="B261" s="628"/>
      <c r="C261" s="9"/>
    </row>
    <row r="262" spans="1:9" ht="17" customHeight="1">
      <c r="B262" s="73"/>
      <c r="C262" s="73"/>
      <c r="D262" s="622"/>
      <c r="E262" s="622"/>
      <c r="I262" s="628"/>
    </row>
    <row r="263" spans="1:9" ht="17" customHeight="1">
      <c r="A263" s="13"/>
      <c r="B263" s="73"/>
      <c r="C263" s="73"/>
      <c r="D263" s="622"/>
      <c r="E263" s="622"/>
      <c r="I263" s="628"/>
    </row>
    <row r="264" spans="1:9" ht="17" customHeight="1">
      <c r="B264" s="626"/>
      <c r="C264" s="628"/>
      <c r="D264" s="73"/>
      <c r="E264" s="622"/>
      <c r="F264" s="622"/>
    </row>
    <row r="265" spans="1:9" ht="17" customHeight="1">
      <c r="B265" s="7"/>
      <c r="C265" s="85"/>
      <c r="D265" s="73"/>
      <c r="E265" s="622"/>
      <c r="F265" s="622"/>
    </row>
    <row r="266" spans="1:9" ht="17" customHeight="1">
      <c r="B266" s="7"/>
      <c r="C266" s="85"/>
      <c r="D266" s="73"/>
      <c r="E266" s="622"/>
      <c r="F266" s="622"/>
    </row>
    <row r="267" spans="1:9" ht="17" customHeight="1">
      <c r="B267" s="7"/>
      <c r="C267" s="85"/>
      <c r="D267" s="635"/>
    </row>
    <row r="268" spans="1:9" ht="17" customHeight="1">
      <c r="B268" s="85"/>
      <c r="C268" s="9"/>
      <c r="I268" s="628"/>
    </row>
    <row r="269" spans="1:9" ht="17" customHeight="1">
      <c r="B269" s="85"/>
      <c r="C269" s="9"/>
      <c r="I269" s="628"/>
    </row>
    <row r="270" spans="1:9" ht="17" customHeight="1">
      <c r="A270" s="14"/>
      <c r="B270" s="89"/>
    </row>
    <row r="271" spans="1:9" ht="17" customHeight="1">
      <c r="A271" s="626"/>
      <c r="B271" s="89"/>
    </row>
    <row r="272" spans="1:9" ht="17" customHeight="1">
      <c r="A272" s="626"/>
      <c r="B272" s="89"/>
    </row>
    <row r="273" spans="1:5" ht="17" customHeight="1">
      <c r="A273" s="626"/>
      <c r="B273" s="89"/>
    </row>
    <row r="274" spans="1:5" ht="17" customHeight="1">
      <c r="A274" s="13"/>
    </row>
    <row r="277" spans="1:5" ht="17" customHeight="1">
      <c r="C277" s="73"/>
      <c r="D277" s="73"/>
      <c r="E277" s="73"/>
    </row>
    <row r="278" spans="1:5" ht="17" customHeight="1">
      <c r="C278" s="73"/>
      <c r="D278" s="73"/>
      <c r="E278" s="73"/>
    </row>
    <row r="279" spans="1:5" ht="17" customHeight="1">
      <c r="A279" s="13"/>
    </row>
    <row r="280" spans="1:5" ht="17" customHeight="1">
      <c r="B280" s="89"/>
      <c r="C280" s="626"/>
      <c r="D280" s="73"/>
      <c r="E280" s="73"/>
    </row>
    <row r="281" spans="1:5" ht="17" customHeight="1">
      <c r="B281" s="8"/>
      <c r="C281" s="9"/>
      <c r="D281" s="73"/>
      <c r="E281" s="73"/>
    </row>
    <row r="282" spans="1:5" ht="17" customHeight="1">
      <c r="B282" s="8"/>
      <c r="C282" s="9"/>
      <c r="D282" s="73"/>
      <c r="E282" s="73"/>
    </row>
    <row r="283" spans="1:5" ht="17" customHeight="1">
      <c r="B283" s="8"/>
      <c r="C283" s="626"/>
      <c r="D283" s="73"/>
      <c r="E283" s="73"/>
    </row>
    <row r="284" spans="1:5" ht="17" customHeight="1">
      <c r="B284" s="8"/>
      <c r="C284" s="626"/>
      <c r="D284" s="73"/>
      <c r="E284" s="73"/>
    </row>
    <row r="285" spans="1:5" ht="17" customHeight="1">
      <c r="B285" s="8"/>
      <c r="C285" s="626"/>
      <c r="D285" s="73"/>
      <c r="E285" s="73"/>
    </row>
    <row r="287" spans="1:5" ht="17" customHeight="1">
      <c r="B287" s="89"/>
    </row>
    <row r="288" spans="1:5" ht="17" customHeight="1">
      <c r="B288" s="8"/>
      <c r="C288" s="9"/>
      <c r="D288" s="73"/>
      <c r="E288" s="73"/>
    </row>
    <row r="289" spans="2:5" ht="17" customHeight="1">
      <c r="B289" s="8"/>
      <c r="C289" s="9"/>
      <c r="D289" s="73"/>
      <c r="E289" s="73"/>
    </row>
    <row r="290" spans="2:5" ht="17" customHeight="1">
      <c r="B290" s="8"/>
      <c r="C290" s="626"/>
      <c r="D290" s="73"/>
      <c r="E290" s="73"/>
    </row>
    <row r="291" spans="2:5" ht="17" customHeight="1">
      <c r="B291" s="8"/>
      <c r="C291" s="626"/>
      <c r="D291" s="73"/>
      <c r="E291" s="73"/>
    </row>
    <row r="292" spans="2:5" ht="17" customHeight="1">
      <c r="B292" s="8"/>
      <c r="C292" s="626"/>
      <c r="D292" s="73"/>
      <c r="E292" s="73"/>
    </row>
    <row r="293" spans="2:5" ht="17" customHeight="1">
      <c r="B293" s="628"/>
      <c r="C293" s="9"/>
      <c r="D293" s="73"/>
      <c r="E293" s="73"/>
    </row>
    <row r="294" spans="2:5" ht="17" customHeight="1">
      <c r="B294" s="89"/>
      <c r="C294" s="73"/>
      <c r="D294" s="73"/>
      <c r="E294" s="73"/>
    </row>
    <row r="295" spans="2:5" ht="17" customHeight="1">
      <c r="B295" s="8"/>
      <c r="C295" s="9"/>
      <c r="D295" s="73"/>
      <c r="E295" s="73"/>
    </row>
    <row r="296" spans="2:5" ht="17" customHeight="1">
      <c r="B296" s="8"/>
      <c r="C296" s="9"/>
      <c r="D296" s="73"/>
      <c r="E296" s="73"/>
    </row>
    <row r="297" spans="2:5" ht="17" customHeight="1">
      <c r="B297" s="8"/>
      <c r="C297" s="626"/>
      <c r="D297" s="73"/>
      <c r="E297" s="73"/>
    </row>
    <row r="298" spans="2:5" ht="17" customHeight="1">
      <c r="B298" s="8"/>
      <c r="C298" s="626"/>
      <c r="D298" s="73"/>
      <c r="E298" s="73"/>
    </row>
    <row r="299" spans="2:5" ht="17" customHeight="1">
      <c r="B299" s="8"/>
      <c r="C299" s="626"/>
      <c r="D299" s="73"/>
      <c r="E299" s="73"/>
    </row>
    <row r="301" spans="2:5" ht="17" customHeight="1">
      <c r="B301" s="89"/>
      <c r="C301" s="9"/>
      <c r="D301" s="73"/>
      <c r="E301" s="73"/>
    </row>
    <row r="302" spans="2:5" ht="17" customHeight="1">
      <c r="B302" s="8"/>
      <c r="C302" s="9"/>
      <c r="D302" s="73"/>
      <c r="E302" s="73"/>
    </row>
    <row r="303" spans="2:5" ht="17" customHeight="1">
      <c r="B303" s="8"/>
      <c r="C303" s="9"/>
      <c r="D303" s="73"/>
      <c r="E303" s="73"/>
    </row>
    <row r="304" spans="2:5" ht="17" customHeight="1">
      <c r="B304" s="8"/>
      <c r="C304" s="626"/>
      <c r="D304" s="73"/>
      <c r="E304" s="73"/>
    </row>
    <row r="305" spans="1:6" ht="17" customHeight="1">
      <c r="B305" s="8"/>
      <c r="C305" s="626"/>
      <c r="D305" s="73"/>
      <c r="E305" s="73"/>
    </row>
    <row r="306" spans="1:6" ht="17" customHeight="1">
      <c r="B306" s="8"/>
      <c r="C306" s="626"/>
      <c r="D306" s="73"/>
      <c r="E306" s="73"/>
    </row>
    <row r="307" spans="1:6" ht="17" customHeight="1">
      <c r="B307" s="8"/>
      <c r="C307" s="626"/>
      <c r="D307" s="73"/>
      <c r="E307" s="73"/>
    </row>
    <row r="308" spans="1:6" ht="17" customHeight="1">
      <c r="B308" s="628"/>
    </row>
    <row r="309" spans="1:6" ht="17" customHeight="1">
      <c r="A309" s="13"/>
      <c r="B309" s="628"/>
    </row>
    <row r="310" spans="1:6" ht="17" customHeight="1">
      <c r="B310" s="85"/>
    </row>
    <row r="311" spans="1:6" ht="17" customHeight="1">
      <c r="B311" s="85"/>
    </row>
    <row r="312" spans="1:6" ht="17" customHeight="1">
      <c r="B312" s="85"/>
    </row>
    <row r="313" spans="1:6" ht="17" customHeight="1">
      <c r="B313" s="85"/>
    </row>
    <row r="314" spans="1:6" ht="17" customHeight="1">
      <c r="B314" s="85"/>
    </row>
    <row r="315" spans="1:6" ht="17" customHeight="1">
      <c r="B315" s="85"/>
    </row>
    <row r="316" spans="1:6" ht="17" customHeight="1">
      <c r="B316" s="85"/>
    </row>
    <row r="317" spans="1:6" ht="17" customHeight="1">
      <c r="B317" s="85"/>
    </row>
    <row r="318" spans="1:6" ht="17" customHeight="1">
      <c r="B318" s="85"/>
      <c r="F318" s="579"/>
    </row>
    <row r="319" spans="1:6" ht="17" customHeight="1">
      <c r="B319" s="628"/>
    </row>
    <row r="320" spans="1:6" ht="17" customHeight="1">
      <c r="B320" s="7"/>
      <c r="C320" s="85"/>
    </row>
    <row r="321" spans="1:6" ht="17" customHeight="1">
      <c r="B321" s="7"/>
      <c r="C321" s="85"/>
    </row>
    <row r="322" spans="1:6" ht="17" customHeight="1">
      <c r="B322" s="7"/>
      <c r="C322" s="626"/>
      <c r="F322" s="579"/>
    </row>
    <row r="323" spans="1:6" ht="17" customHeight="1">
      <c r="B323" s="7"/>
      <c r="C323" s="626"/>
      <c r="F323" s="579"/>
    </row>
    <row r="324" spans="1:6" ht="17" customHeight="1">
      <c r="B324" s="7"/>
      <c r="C324" s="626"/>
      <c r="E324" s="627"/>
      <c r="F324" s="579"/>
    </row>
    <row r="325" spans="1:6" ht="17" customHeight="1">
      <c r="B325" s="85"/>
      <c r="E325" s="627"/>
    </row>
    <row r="326" spans="1:6" ht="17" customHeight="1">
      <c r="B326" s="85"/>
    </row>
    <row r="327" spans="1:6" ht="17" customHeight="1">
      <c r="B327" s="85"/>
    </row>
    <row r="328" spans="1:6" ht="17" customHeight="1">
      <c r="B328" s="85"/>
    </row>
    <row r="329" spans="1:6" ht="17" customHeight="1">
      <c r="B329" s="628"/>
    </row>
    <row r="330" spans="1:6" ht="17" customHeight="1">
      <c r="B330" s="628"/>
    </row>
    <row r="331" spans="1:6" ht="17" customHeight="1">
      <c r="A331" s="13"/>
      <c r="B331" s="628"/>
    </row>
    <row r="332" spans="1:6" ht="17" customHeight="1">
      <c r="B332" s="85"/>
    </row>
    <row r="333" spans="1:6" ht="17" customHeight="1">
      <c r="B333" s="8"/>
      <c r="C333" s="9"/>
    </row>
    <row r="334" spans="1:6" ht="17" customHeight="1">
      <c r="B334" s="8"/>
      <c r="C334" s="9"/>
    </row>
    <row r="335" spans="1:6" ht="17" customHeight="1">
      <c r="B335" s="8"/>
      <c r="C335" s="9"/>
    </row>
    <row r="336" spans="1:6" ht="17" customHeight="1">
      <c r="B336" s="7"/>
      <c r="C336" s="9"/>
    </row>
    <row r="337" spans="2:6" ht="17" customHeight="1">
      <c r="B337" s="7"/>
      <c r="C337" s="9"/>
    </row>
    <row r="338" spans="2:6" ht="17" customHeight="1">
      <c r="B338" s="7"/>
      <c r="C338" s="9"/>
    </row>
    <row r="339" spans="2:6" ht="17" customHeight="1">
      <c r="B339" s="7"/>
      <c r="C339" s="9"/>
    </row>
    <row r="340" spans="2:6" ht="17" customHeight="1">
      <c r="B340" s="89"/>
    </row>
    <row r="341" spans="2:6" ht="17" customHeight="1">
      <c r="B341" s="622"/>
      <c r="C341" s="622"/>
      <c r="D341" s="622"/>
      <c r="E341" s="622"/>
      <c r="F341" s="622"/>
    </row>
    <row r="342" spans="2:6" ht="17" customHeight="1">
      <c r="B342" s="622"/>
      <c r="C342" s="73"/>
      <c r="D342" s="73"/>
      <c r="E342" s="73"/>
      <c r="F342" s="73"/>
    </row>
    <row r="343" spans="2:6" ht="17" customHeight="1">
      <c r="B343" s="622"/>
      <c r="C343" s="73"/>
      <c r="D343" s="73"/>
      <c r="E343" s="73"/>
      <c r="F343" s="73"/>
    </row>
    <row r="344" spans="2:6" ht="17" customHeight="1">
      <c r="B344" s="622"/>
      <c r="C344" s="73"/>
      <c r="D344" s="73"/>
      <c r="E344" s="73"/>
      <c r="F344" s="73"/>
    </row>
    <row r="345" spans="2:6" ht="17" customHeight="1">
      <c r="B345" s="8"/>
    </row>
    <row r="346" spans="2:6" ht="17" customHeight="1">
      <c r="B346" s="89"/>
    </row>
    <row r="347" spans="2:6" ht="17" customHeight="1">
      <c r="B347" s="622"/>
      <c r="C347" s="622"/>
      <c r="D347" s="622"/>
      <c r="E347" s="622"/>
      <c r="F347" s="622"/>
    </row>
    <row r="348" spans="2:6" ht="17" customHeight="1">
      <c r="B348" s="622"/>
      <c r="C348" s="628"/>
      <c r="D348" s="628"/>
      <c r="E348" s="628"/>
      <c r="F348" s="628"/>
    </row>
    <row r="349" spans="2:6" ht="17" customHeight="1">
      <c r="B349" s="622"/>
      <c r="C349" s="628"/>
      <c r="D349" s="628"/>
      <c r="E349" s="628"/>
      <c r="F349" s="628"/>
    </row>
    <row r="350" spans="2:6" ht="17" customHeight="1">
      <c r="B350" s="622"/>
      <c r="C350" s="628"/>
      <c r="D350" s="628"/>
      <c r="E350" s="628"/>
      <c r="F350" s="628"/>
    </row>
    <row r="351" spans="2:6" ht="17" customHeight="1">
      <c r="B351" s="622"/>
      <c r="C351" s="73"/>
      <c r="D351" s="73"/>
      <c r="E351" s="73"/>
      <c r="F351" s="73"/>
    </row>
    <row r="352" spans="2:6" ht="17" customHeight="1">
      <c r="B352" s="628"/>
      <c r="C352" s="9"/>
    </row>
    <row r="353" spans="1:9" ht="17" customHeight="1">
      <c r="B353" s="628"/>
      <c r="C353" s="9"/>
    </row>
    <row r="354" spans="1:9" ht="17" customHeight="1">
      <c r="B354" s="628"/>
      <c r="C354" s="9"/>
    </row>
    <row r="355" spans="1:9" ht="17" customHeight="1">
      <c r="B355" s="628"/>
      <c r="C355" s="9"/>
    </row>
    <row r="356" spans="1:9" ht="17" customHeight="1">
      <c r="B356" s="628"/>
      <c r="C356" s="9"/>
      <c r="D356" s="636"/>
      <c r="E356" s="629"/>
      <c r="I356" s="628"/>
    </row>
    <row r="357" spans="1:9" ht="17" customHeight="1">
      <c r="B357" s="628"/>
      <c r="C357" s="85"/>
      <c r="D357" s="636"/>
      <c r="E357" s="629"/>
      <c r="I357" s="628"/>
    </row>
    <row r="358" spans="1:9" ht="17" customHeight="1">
      <c r="B358" s="73"/>
      <c r="C358" s="73"/>
      <c r="D358" s="622"/>
      <c r="E358" s="622"/>
      <c r="I358" s="628"/>
    </row>
    <row r="359" spans="1:9" ht="17" customHeight="1">
      <c r="A359" s="13"/>
      <c r="B359" s="73"/>
      <c r="C359" s="73"/>
      <c r="D359" s="622"/>
      <c r="E359" s="622"/>
      <c r="I359" s="628"/>
    </row>
    <row r="360" spans="1:9" ht="17" customHeight="1">
      <c r="B360" s="626"/>
      <c r="C360" s="628"/>
      <c r="D360" s="73"/>
      <c r="E360" s="622"/>
      <c r="F360" s="622"/>
    </row>
    <row r="361" spans="1:9" ht="17" customHeight="1">
      <c r="B361" s="7"/>
      <c r="C361" s="85"/>
      <c r="D361" s="73"/>
      <c r="E361" s="622"/>
      <c r="F361" s="622"/>
    </row>
    <row r="362" spans="1:9" ht="17" customHeight="1">
      <c r="B362" s="7"/>
      <c r="C362" s="85"/>
      <c r="D362" s="73"/>
      <c r="E362" s="622"/>
      <c r="F362" s="622"/>
    </row>
    <row r="363" spans="1:9" ht="17" customHeight="1">
      <c r="B363" s="7"/>
      <c r="C363" s="85"/>
      <c r="D363" s="635"/>
    </row>
    <row r="364" spans="1:9" ht="17" customHeight="1">
      <c r="B364" s="85"/>
      <c r="C364" s="9"/>
      <c r="I364" s="628"/>
    </row>
    <row r="365" spans="1:9" ht="17" customHeight="1">
      <c r="B365" s="85"/>
      <c r="C365" s="9"/>
      <c r="I365" s="628"/>
    </row>
    <row r="366" spans="1:9" ht="17" customHeight="1">
      <c r="B366" s="85"/>
      <c r="C366" s="9"/>
      <c r="I366" s="628"/>
    </row>
    <row r="367" spans="1:9" ht="17" customHeight="1">
      <c r="B367" s="85"/>
      <c r="C367" s="626"/>
    </row>
    <row r="368" spans="1:9" ht="17" customHeight="1">
      <c r="B368" s="85"/>
      <c r="C368" s="626"/>
    </row>
    <row r="369" spans="2:3" ht="17" customHeight="1">
      <c r="B369" s="85"/>
      <c r="C369" s="626"/>
    </row>
    <row r="370" spans="2:3" ht="17" customHeight="1">
      <c r="C370" s="626"/>
    </row>
  </sheetData>
  <sortState ref="B8:F13">
    <sortCondition descending="1" ref="C8:C13"/>
  </sortState>
  <mergeCells count="3">
    <mergeCell ref="C66:F66"/>
    <mergeCell ref="B94:C94"/>
    <mergeCell ref="C56:F56"/>
  </mergeCells>
  <phoneticPr fontId="5" type="noConversion"/>
  <hyperlinks>
    <hyperlink ref="B3" r:id="rId1"/>
    <hyperlink ref="B6" r:id="rId2"/>
    <hyperlink ref="B8" r:id="rId3"/>
    <hyperlink ref="B5" r:id="rId4"/>
    <hyperlink ref="B7" r:id="rId5"/>
    <hyperlink ref="B4" r:id="rId6"/>
  </hyperlinks>
  <pageMargins left="0.75" right="0.75" top="1" bottom="1" header="0.5" footer="0.5"/>
  <pageSetup orientation="portrait" horizontalDpi="4294967292" verticalDpi="4294967292"/>
  <drawing r:id="rId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02"/>
  <sheetViews>
    <sheetView zoomScale="140" zoomScaleNormal="140" zoomScalePageLayoutView="140" workbookViewId="0">
      <selection activeCell="D40" sqref="D40"/>
    </sheetView>
  </sheetViews>
  <sheetFormatPr baseColWidth="10" defaultRowHeight="12" x14ac:dyDescent="0"/>
  <cols>
    <col min="1" max="1" width="7.1640625" style="49" customWidth="1"/>
    <col min="2" max="2" width="15" style="46" customWidth="1"/>
    <col min="3" max="9" width="12" style="46" customWidth="1"/>
    <col min="10" max="10" width="8.6640625" style="46" customWidth="1"/>
    <col min="11" max="14" width="9.1640625" style="46" customWidth="1"/>
    <col min="15" max="16384" width="10.83203125" style="46"/>
  </cols>
  <sheetData>
    <row r="1" spans="1:14">
      <c r="A1" s="45"/>
      <c r="B1" s="80"/>
      <c r="C1" s="43"/>
      <c r="D1" s="43"/>
      <c r="E1" s="43"/>
      <c r="F1" s="43"/>
      <c r="G1" s="81"/>
      <c r="H1" s="81"/>
      <c r="I1" s="81"/>
      <c r="J1" s="81"/>
      <c r="K1" s="81"/>
      <c r="L1" s="81"/>
      <c r="M1" s="81"/>
      <c r="N1" s="81"/>
    </row>
    <row r="2" spans="1:14">
      <c r="A2" s="47"/>
      <c r="B2" s="80"/>
      <c r="C2" s="43"/>
      <c r="D2" s="43"/>
      <c r="E2" s="43"/>
      <c r="F2" s="43"/>
    </row>
    <row r="3" spans="1:14">
      <c r="A3" s="47"/>
      <c r="B3" s="80"/>
      <c r="C3" s="43"/>
      <c r="D3" s="43"/>
      <c r="E3" s="43"/>
      <c r="F3" s="43"/>
    </row>
    <row r="4" spans="1:14">
      <c r="A4" s="47"/>
      <c r="B4" s="80"/>
      <c r="C4" s="43"/>
      <c r="D4" s="43"/>
      <c r="E4" s="43"/>
      <c r="F4" s="43"/>
    </row>
    <row r="5" spans="1:14">
      <c r="A5" s="47"/>
      <c r="B5" s="80"/>
      <c r="C5" s="43"/>
      <c r="D5" s="43"/>
      <c r="E5" s="43"/>
      <c r="F5" s="43"/>
    </row>
    <row r="6" spans="1:14">
      <c r="A6" s="47"/>
      <c r="B6" s="80"/>
      <c r="C6" s="43"/>
      <c r="D6" s="43"/>
      <c r="E6" s="43"/>
      <c r="F6" s="43"/>
    </row>
    <row r="7" spans="1:14">
      <c r="A7" s="47"/>
      <c r="B7" s="80"/>
      <c r="C7" s="43"/>
      <c r="D7" s="43"/>
      <c r="E7" s="43"/>
      <c r="F7" s="43"/>
    </row>
    <row r="8" spans="1:14">
      <c r="A8" s="47"/>
      <c r="B8" s="80"/>
      <c r="C8" s="43"/>
      <c r="D8" s="43"/>
      <c r="E8" s="43"/>
      <c r="F8" s="43"/>
    </row>
    <row r="9" spans="1:14">
      <c r="A9" s="47"/>
      <c r="B9" s="48"/>
      <c r="C9" s="43"/>
      <c r="D9" s="43"/>
      <c r="E9" s="43"/>
      <c r="F9" s="43"/>
    </row>
    <row r="10" spans="1:14">
      <c r="A10" s="47"/>
      <c r="B10" s="43"/>
      <c r="C10" s="43"/>
      <c r="D10" s="43"/>
      <c r="E10" s="43"/>
      <c r="F10" s="43"/>
    </row>
    <row r="11" spans="1:14">
      <c r="A11" s="47"/>
      <c r="B11" s="43"/>
      <c r="C11" s="1"/>
      <c r="E11" s="43"/>
      <c r="F11" s="43"/>
    </row>
    <row r="12" spans="1:14">
      <c r="A12" s="47"/>
      <c r="B12" s="43"/>
      <c r="C12" s="1"/>
      <c r="E12" s="43"/>
      <c r="F12" s="43"/>
    </row>
    <row r="13" spans="1:14">
      <c r="A13" s="47"/>
      <c r="B13" s="43"/>
      <c r="C13" s="1"/>
      <c r="E13" s="43"/>
      <c r="F13" s="43"/>
    </row>
    <row r="14" spans="1:14">
      <c r="A14" s="47"/>
      <c r="B14" s="43"/>
      <c r="C14" s="1"/>
      <c r="E14" s="43"/>
      <c r="F14" s="43"/>
    </row>
    <row r="15" spans="1:14">
      <c r="A15" s="47"/>
      <c r="B15" s="43"/>
      <c r="C15" s="1"/>
      <c r="E15" s="43"/>
      <c r="F15" s="43"/>
    </row>
    <row r="16" spans="1:14">
      <c r="A16" s="47"/>
      <c r="B16" s="43"/>
      <c r="C16" s="1"/>
      <c r="E16" s="43"/>
      <c r="F16" s="43"/>
    </row>
    <row r="17" spans="1:6">
      <c r="A17" s="47"/>
      <c r="B17" s="43"/>
      <c r="C17" s="43"/>
      <c r="D17" s="43"/>
      <c r="E17" s="43"/>
      <c r="F17" s="43"/>
    </row>
    <row r="18" spans="1:6">
      <c r="A18" s="47"/>
      <c r="B18" s="43"/>
      <c r="C18" s="79"/>
      <c r="D18" s="79"/>
      <c r="E18" s="79"/>
      <c r="F18" s="79"/>
    </row>
    <row r="19" spans="1:6">
      <c r="B19" s="4"/>
      <c r="C19" s="3"/>
      <c r="D19" s="6"/>
      <c r="E19" s="6"/>
      <c r="F19" s="6"/>
    </row>
    <row r="20" spans="1:6">
      <c r="B20" s="4"/>
      <c r="C20" s="3"/>
      <c r="D20" s="6"/>
      <c r="E20" s="6"/>
      <c r="F20" s="6"/>
    </row>
    <row r="21" spans="1:6">
      <c r="B21" s="4"/>
      <c r="C21" s="3"/>
      <c r="D21" s="6"/>
      <c r="E21" s="6"/>
      <c r="F21" s="6"/>
    </row>
    <row r="22" spans="1:6">
      <c r="B22" s="4"/>
      <c r="C22" s="3"/>
      <c r="D22" s="6"/>
      <c r="E22" s="6"/>
      <c r="F22" s="6"/>
    </row>
    <row r="23" spans="1:6">
      <c r="B23" s="4"/>
      <c r="C23" s="3"/>
      <c r="D23" s="6"/>
      <c r="E23" s="6"/>
      <c r="F23" s="6"/>
    </row>
    <row r="24" spans="1:6">
      <c r="B24" s="4"/>
      <c r="C24" s="3"/>
      <c r="D24" s="6"/>
      <c r="E24" s="6"/>
      <c r="F24" s="6"/>
    </row>
    <row r="25" spans="1:6">
      <c r="B25" s="4"/>
      <c r="C25" s="3"/>
      <c r="D25" s="6"/>
      <c r="E25" s="6"/>
      <c r="F25" s="6"/>
    </row>
    <row r="26" spans="1:6">
      <c r="A26" s="47"/>
      <c r="B26" s="79"/>
      <c r="C26" s="79"/>
      <c r="D26" s="79"/>
      <c r="E26" s="43"/>
      <c r="F26" s="43"/>
    </row>
    <row r="27" spans="1:6">
      <c r="A27" s="47"/>
      <c r="B27" s="43"/>
      <c r="C27" s="1"/>
      <c r="D27" s="79"/>
      <c r="E27" s="43"/>
      <c r="F27" s="43"/>
    </row>
    <row r="28" spans="1:6">
      <c r="A28" s="47"/>
      <c r="B28" s="43"/>
      <c r="C28" s="1"/>
      <c r="D28" s="79"/>
      <c r="E28" s="43"/>
      <c r="F28" s="43"/>
    </row>
    <row r="29" spans="1:6">
      <c r="A29" s="47"/>
      <c r="B29" s="43"/>
      <c r="C29" s="1"/>
      <c r="D29" s="79"/>
      <c r="E29" s="43"/>
      <c r="F29" s="43"/>
    </row>
    <row r="30" spans="1:6">
      <c r="A30" s="47"/>
      <c r="B30" s="43"/>
      <c r="C30" s="5"/>
      <c r="D30" s="79"/>
      <c r="E30" s="43"/>
      <c r="F30" s="43"/>
    </row>
    <row r="31" spans="1:6">
      <c r="A31" s="47"/>
      <c r="B31" s="43"/>
      <c r="C31" s="5"/>
      <c r="D31" s="79"/>
      <c r="E31" s="43"/>
      <c r="F31" s="43"/>
    </row>
    <row r="32" spans="1:6">
      <c r="A32" s="47"/>
      <c r="B32" s="43"/>
      <c r="C32" s="5"/>
      <c r="D32" s="79"/>
      <c r="E32" s="43"/>
      <c r="F32" s="43"/>
    </row>
    <row r="33" spans="1:6">
      <c r="A33" s="47"/>
      <c r="B33" s="43"/>
      <c r="C33" s="1"/>
      <c r="D33" s="79"/>
      <c r="E33" s="43"/>
      <c r="F33" s="43"/>
    </row>
    <row r="34" spans="1:6">
      <c r="A34" s="50"/>
      <c r="C34" s="43"/>
      <c r="D34" s="5"/>
      <c r="E34" s="43"/>
      <c r="F34" s="43"/>
    </row>
    <row r="35" spans="1:6" ht="13">
      <c r="A35" s="50"/>
      <c r="C35" s="51"/>
      <c r="D35" s="1"/>
      <c r="E35" s="43"/>
      <c r="F35" s="43"/>
    </row>
    <row r="36" spans="1:6" ht="13">
      <c r="A36" s="50"/>
      <c r="C36" s="51"/>
      <c r="D36" s="1"/>
      <c r="E36" s="43"/>
      <c r="F36" s="43"/>
    </row>
    <row r="37" spans="1:6" ht="20" customHeight="1">
      <c r="A37" s="47"/>
      <c r="B37" s="52"/>
      <c r="C37" s="51"/>
      <c r="D37" s="1"/>
      <c r="E37" s="43"/>
      <c r="F37" s="43"/>
    </row>
    <row r="38" spans="1:6">
      <c r="A38" s="47"/>
      <c r="B38" s="43"/>
      <c r="C38" s="53"/>
      <c r="D38" s="1"/>
      <c r="E38" s="43"/>
      <c r="F38" s="43"/>
    </row>
    <row r="39" spans="1:6">
      <c r="A39" s="47"/>
      <c r="B39" s="43"/>
      <c r="C39" s="53"/>
      <c r="D39" s="1"/>
      <c r="E39" s="43"/>
      <c r="F39" s="43"/>
    </row>
    <row r="40" spans="1:6">
      <c r="A40" s="47"/>
      <c r="B40" s="43"/>
      <c r="C40" s="53"/>
      <c r="D40" s="1"/>
      <c r="E40" s="43"/>
      <c r="F40" s="43"/>
    </row>
    <row r="41" spans="1:6" ht="13">
      <c r="A41" s="47"/>
      <c r="B41" s="43"/>
      <c r="C41" s="54"/>
      <c r="D41" s="1"/>
      <c r="E41" s="43"/>
      <c r="F41" s="43"/>
    </row>
    <row r="42" spans="1:6">
      <c r="A42" s="47"/>
      <c r="B42" s="55"/>
      <c r="C42" s="1"/>
      <c r="E42" s="43"/>
      <c r="F42" s="43"/>
    </row>
    <row r="43" spans="1:6">
      <c r="A43" s="47"/>
      <c r="B43" s="55"/>
      <c r="C43" s="1"/>
      <c r="E43" s="43"/>
      <c r="F43" s="43"/>
    </row>
    <row r="44" spans="1:6">
      <c r="A44" s="47"/>
      <c r="B44" s="43"/>
      <c r="C44" s="1"/>
      <c r="E44" s="43"/>
      <c r="F44" s="43"/>
    </row>
    <row r="45" spans="1:6">
      <c r="A45" s="47"/>
      <c r="B45" s="79"/>
      <c r="C45" s="38"/>
      <c r="D45" s="1"/>
      <c r="E45" s="43"/>
      <c r="F45" s="43"/>
    </row>
    <row r="46" spans="1:6">
      <c r="A46" s="47"/>
      <c r="B46" s="43"/>
      <c r="C46" s="2"/>
      <c r="D46" s="1"/>
      <c r="E46" s="43"/>
      <c r="F46" s="43"/>
    </row>
    <row r="47" spans="1:6">
      <c r="A47" s="50"/>
      <c r="B47" s="43"/>
      <c r="C47" s="1"/>
      <c r="D47" s="1"/>
      <c r="E47" s="43"/>
      <c r="F47" s="43"/>
    </row>
    <row r="48" spans="1:6">
      <c r="A48" s="47"/>
      <c r="B48" s="53"/>
      <c r="C48" s="1"/>
      <c r="D48" s="1"/>
      <c r="E48" s="43"/>
      <c r="F48" s="43"/>
    </row>
    <row r="49" spans="1:6">
      <c r="A49" s="47"/>
      <c r="B49" s="43"/>
      <c r="C49" s="1"/>
      <c r="D49" s="1"/>
      <c r="E49" s="43"/>
      <c r="F49" s="43"/>
    </row>
    <row r="50" spans="1:6">
      <c r="A50" s="47"/>
      <c r="B50" s="43"/>
      <c r="C50" s="1"/>
      <c r="D50" s="1"/>
      <c r="E50" s="43"/>
      <c r="F50" s="43"/>
    </row>
    <row r="51" spans="1:6">
      <c r="A51" s="47"/>
      <c r="B51" s="43"/>
      <c r="C51" s="1"/>
      <c r="D51" s="1"/>
      <c r="E51" s="43"/>
      <c r="F51" s="43"/>
    </row>
    <row r="52" spans="1:6">
      <c r="A52" s="47"/>
      <c r="B52" s="43"/>
      <c r="C52" s="1"/>
      <c r="D52" s="1"/>
      <c r="E52" s="43"/>
      <c r="F52" s="43"/>
    </row>
    <row r="53" spans="1:6">
      <c r="A53" s="47"/>
      <c r="B53" s="43"/>
      <c r="C53" s="1"/>
      <c r="D53" s="1"/>
      <c r="E53" s="43"/>
      <c r="F53" s="43"/>
    </row>
    <row r="54" spans="1:6">
      <c r="A54" s="45"/>
      <c r="B54" s="43"/>
      <c r="C54" s="55"/>
      <c r="D54" s="43"/>
      <c r="E54" s="43"/>
      <c r="F54" s="43"/>
    </row>
    <row r="55" spans="1:6">
      <c r="A55" s="47"/>
      <c r="B55" s="56"/>
      <c r="C55" s="1"/>
      <c r="D55" s="38"/>
      <c r="E55" s="43"/>
      <c r="F55" s="43"/>
    </row>
    <row r="56" spans="1:6">
      <c r="A56" s="47"/>
      <c r="B56" s="56"/>
      <c r="C56" s="1"/>
      <c r="E56" s="43"/>
      <c r="F56" s="43"/>
    </row>
    <row r="57" spans="1:6">
      <c r="A57" s="47"/>
      <c r="B57" s="56"/>
      <c r="C57" s="1"/>
      <c r="D57" s="38"/>
      <c r="E57" s="43"/>
      <c r="F57" s="43"/>
    </row>
    <row r="58" spans="1:6">
      <c r="A58" s="47"/>
      <c r="D58" s="43"/>
      <c r="E58" s="43"/>
      <c r="F58" s="43"/>
    </row>
    <row r="59" spans="1:6">
      <c r="A59" s="47"/>
      <c r="B59" s="43"/>
      <c r="C59" s="2"/>
      <c r="D59" s="43"/>
      <c r="E59" s="43"/>
      <c r="F59" s="43"/>
    </row>
    <row r="60" spans="1:6">
      <c r="A60" s="47"/>
      <c r="B60" s="43"/>
      <c r="C60" s="1"/>
      <c r="D60" s="43"/>
      <c r="E60" s="43"/>
      <c r="F60" s="43"/>
    </row>
    <row r="61" spans="1:6">
      <c r="A61" s="47"/>
      <c r="B61" s="43"/>
      <c r="C61" s="1"/>
      <c r="D61" s="43"/>
      <c r="E61" s="43"/>
      <c r="F61" s="43"/>
    </row>
    <row r="62" spans="1:6">
      <c r="A62" s="47"/>
      <c r="B62" s="43"/>
      <c r="C62" s="1"/>
      <c r="D62" s="43"/>
      <c r="E62" s="43"/>
      <c r="F62" s="43"/>
    </row>
    <row r="63" spans="1:6">
      <c r="A63" s="47"/>
      <c r="B63" s="43"/>
      <c r="C63" s="1"/>
      <c r="D63" s="43"/>
      <c r="E63" s="43"/>
      <c r="F63" s="43"/>
    </row>
    <row r="64" spans="1:6">
      <c r="A64" s="47"/>
      <c r="B64" s="43"/>
      <c r="C64" s="1"/>
      <c r="D64" s="43"/>
      <c r="E64" s="43"/>
      <c r="F64" s="43"/>
    </row>
    <row r="65" spans="1:6">
      <c r="A65" s="47"/>
      <c r="B65" s="43"/>
      <c r="C65" s="1"/>
      <c r="D65" s="38"/>
      <c r="E65" s="43"/>
      <c r="F65" s="43"/>
    </row>
    <row r="66" spans="1:6">
      <c r="A66" s="47"/>
      <c r="B66" s="43"/>
      <c r="C66" s="38"/>
      <c r="D66" s="43"/>
      <c r="E66" s="43"/>
      <c r="F66" s="43"/>
    </row>
    <row r="67" spans="1:6">
      <c r="A67" s="47"/>
      <c r="B67" s="38"/>
      <c r="C67" s="1"/>
      <c r="D67" s="38"/>
      <c r="F67" s="43"/>
    </row>
    <row r="68" spans="1:6">
      <c r="A68" s="47"/>
      <c r="B68" s="43"/>
      <c r="C68" s="38"/>
      <c r="D68" s="43"/>
      <c r="E68" s="43"/>
      <c r="F68" s="43"/>
    </row>
    <row r="69" spans="1:6">
      <c r="B69" s="56"/>
      <c r="C69" s="1"/>
      <c r="D69" s="38"/>
      <c r="E69" s="43"/>
      <c r="F69" s="43"/>
    </row>
    <row r="70" spans="1:6">
      <c r="A70" s="47"/>
      <c r="B70" s="56"/>
      <c r="C70" s="1"/>
      <c r="D70" s="38"/>
      <c r="E70" s="43"/>
      <c r="F70" s="43"/>
    </row>
    <row r="71" spans="1:6">
      <c r="A71" s="47"/>
      <c r="B71" s="56"/>
      <c r="C71" s="1"/>
      <c r="D71" s="1"/>
      <c r="E71" s="43"/>
      <c r="F71" s="43"/>
    </row>
    <row r="72" spans="1:6">
      <c r="A72" s="47"/>
      <c r="B72" s="43"/>
      <c r="C72" s="55"/>
      <c r="D72" s="55"/>
      <c r="E72" s="43"/>
      <c r="F72" s="43"/>
    </row>
    <row r="73" spans="1:6">
      <c r="A73" s="47"/>
      <c r="B73" s="43"/>
      <c r="C73" s="2"/>
      <c r="D73" s="43"/>
      <c r="E73" s="43"/>
      <c r="F73" s="43"/>
    </row>
    <row r="74" spans="1:6">
      <c r="A74" s="47"/>
      <c r="B74" s="43"/>
      <c r="C74" s="1"/>
      <c r="D74" s="43"/>
      <c r="E74" s="43"/>
      <c r="F74" s="43"/>
    </row>
    <row r="75" spans="1:6">
      <c r="A75" s="47"/>
      <c r="B75" s="43"/>
      <c r="C75" s="1"/>
      <c r="D75" s="43"/>
      <c r="E75" s="43"/>
      <c r="F75" s="43"/>
    </row>
    <row r="76" spans="1:6">
      <c r="A76" s="47"/>
      <c r="B76" s="43"/>
      <c r="C76" s="1"/>
      <c r="D76" s="43"/>
      <c r="E76" s="43"/>
      <c r="F76" s="43"/>
    </row>
    <row r="77" spans="1:6">
      <c r="A77" s="47"/>
      <c r="B77" s="43"/>
      <c r="C77" s="1"/>
      <c r="D77" s="43"/>
      <c r="E77" s="43"/>
      <c r="F77" s="43"/>
    </row>
    <row r="78" spans="1:6">
      <c r="A78" s="47"/>
      <c r="B78" s="43"/>
      <c r="C78" s="1"/>
      <c r="D78" s="43"/>
      <c r="E78" s="43"/>
      <c r="F78" s="43"/>
    </row>
    <row r="79" spans="1:6">
      <c r="A79" s="47"/>
      <c r="B79" s="43"/>
      <c r="C79" s="1"/>
      <c r="D79" s="38"/>
      <c r="E79" s="55"/>
      <c r="F79" s="43"/>
    </row>
    <row r="80" spans="1:6">
      <c r="A80" s="47"/>
      <c r="B80" s="43"/>
      <c r="C80" s="38"/>
      <c r="D80" s="43"/>
      <c r="E80" s="43"/>
      <c r="F80" s="43"/>
    </row>
    <row r="81" spans="1:6">
      <c r="A81" s="47"/>
      <c r="B81" s="43"/>
      <c r="C81" s="43"/>
      <c r="D81" s="43"/>
      <c r="E81" s="43"/>
      <c r="F81" s="43"/>
    </row>
    <row r="82" spans="1:6">
      <c r="A82" s="45"/>
      <c r="B82" s="43"/>
      <c r="C82" s="6"/>
      <c r="D82" s="6"/>
      <c r="E82" s="43"/>
      <c r="F82" s="43"/>
    </row>
    <row r="83" spans="1:6">
      <c r="A83" s="47"/>
      <c r="B83" s="56"/>
      <c r="C83" s="57"/>
      <c r="D83" s="57"/>
      <c r="E83" s="43"/>
      <c r="F83" s="43"/>
    </row>
    <row r="84" spans="1:6">
      <c r="A84" s="47"/>
      <c r="B84" s="43"/>
      <c r="C84" s="3"/>
      <c r="D84" s="3"/>
      <c r="E84" s="43"/>
      <c r="F84" s="43"/>
    </row>
    <row r="85" spans="1:6">
      <c r="A85" s="47"/>
      <c r="B85" s="43"/>
      <c r="C85" s="43"/>
      <c r="D85" s="43"/>
      <c r="E85" s="43"/>
      <c r="F85" s="43"/>
    </row>
    <row r="86" spans="1:6">
      <c r="A86" s="47"/>
      <c r="B86" s="43"/>
      <c r="C86" s="58"/>
      <c r="D86" s="43"/>
      <c r="E86" s="43"/>
      <c r="F86" s="43"/>
    </row>
    <row r="87" spans="1:6">
      <c r="A87" s="47"/>
      <c r="B87" s="43"/>
      <c r="C87" s="58"/>
      <c r="D87" s="43"/>
      <c r="E87" s="43"/>
      <c r="F87" s="43"/>
    </row>
    <row r="88" spans="1:6">
      <c r="A88" s="47"/>
      <c r="B88" s="43"/>
      <c r="C88" s="38"/>
      <c r="D88" s="43"/>
      <c r="E88" s="43"/>
      <c r="F88" s="43"/>
    </row>
    <row r="89" spans="1:6">
      <c r="A89" s="47"/>
      <c r="B89" s="43"/>
      <c r="C89" s="38"/>
      <c r="D89" s="43"/>
      <c r="E89" s="43"/>
      <c r="F89" s="43"/>
    </row>
    <row r="90" spans="1:6">
      <c r="A90" s="47"/>
      <c r="B90" s="43"/>
      <c r="C90" s="38"/>
      <c r="D90" s="43"/>
      <c r="E90" s="43"/>
      <c r="F90" s="43"/>
    </row>
    <row r="91" spans="1:6">
      <c r="B91" s="43"/>
      <c r="C91" s="56"/>
      <c r="D91" s="5"/>
      <c r="E91" s="43"/>
      <c r="F91" s="43"/>
    </row>
    <row r="92" spans="1:6">
      <c r="A92" s="47"/>
      <c r="B92" s="43"/>
      <c r="C92" s="56"/>
      <c r="D92" s="1"/>
      <c r="E92" s="43"/>
      <c r="F92" s="43"/>
    </row>
    <row r="93" spans="1:6">
      <c r="A93" s="47"/>
      <c r="B93" s="43"/>
      <c r="C93" s="56"/>
      <c r="D93" s="1"/>
      <c r="E93" s="43"/>
      <c r="F93" s="43"/>
    </row>
    <row r="94" spans="1:6">
      <c r="A94" s="47"/>
      <c r="C94" s="56"/>
      <c r="D94" s="38"/>
      <c r="E94" s="43"/>
      <c r="F94" s="43"/>
    </row>
    <row r="95" spans="1:6">
      <c r="A95" s="47"/>
      <c r="C95" s="43"/>
      <c r="D95" s="1"/>
      <c r="E95" s="43"/>
      <c r="F95" s="43"/>
    </row>
    <row r="96" spans="1:6">
      <c r="A96" s="47"/>
      <c r="C96" s="43"/>
      <c r="D96" s="82"/>
      <c r="E96" s="43"/>
      <c r="F96" s="43"/>
    </row>
    <row r="97" spans="1:6">
      <c r="A97" s="47"/>
      <c r="B97" s="43"/>
      <c r="C97" s="43"/>
      <c r="D97" s="1"/>
      <c r="E97" s="43"/>
      <c r="F97" s="43"/>
    </row>
    <row r="98" spans="1:6">
      <c r="A98" s="47"/>
      <c r="B98" s="43"/>
      <c r="C98" s="43"/>
      <c r="D98" s="1"/>
      <c r="E98" s="43"/>
      <c r="F98" s="43"/>
    </row>
    <row r="99" spans="1:6">
      <c r="A99" s="47"/>
      <c r="B99" s="38"/>
      <c r="D99" s="38"/>
      <c r="E99" s="43"/>
      <c r="F99" s="43"/>
    </row>
    <row r="100" spans="1:6">
      <c r="A100" s="47"/>
      <c r="B100" s="43"/>
      <c r="C100" s="43"/>
      <c r="D100" s="38"/>
      <c r="E100" s="43"/>
      <c r="F100" s="43"/>
    </row>
    <row r="101" spans="1:6">
      <c r="A101" s="47"/>
      <c r="B101" s="43"/>
      <c r="C101" s="6"/>
      <c r="D101" s="6"/>
      <c r="E101" s="43"/>
      <c r="F101" s="43"/>
    </row>
    <row r="102" spans="1:6">
      <c r="A102" s="47"/>
      <c r="B102" s="43"/>
      <c r="C102" s="3"/>
      <c r="D102" s="3"/>
      <c r="E102" s="43"/>
      <c r="F102" s="43"/>
    </row>
    <row r="103" spans="1:6">
      <c r="A103" s="47"/>
      <c r="B103" s="43"/>
      <c r="C103" s="79"/>
      <c r="D103" s="79"/>
      <c r="E103" s="43"/>
      <c r="F103" s="43"/>
    </row>
    <row r="104" spans="1:6">
      <c r="A104" s="47"/>
      <c r="B104" s="43"/>
      <c r="C104" s="5"/>
      <c r="D104" s="79"/>
      <c r="E104" s="43"/>
      <c r="F104" s="43"/>
    </row>
    <row r="105" spans="1:6">
      <c r="A105" s="47"/>
      <c r="B105" s="56"/>
      <c r="C105" s="1"/>
      <c r="D105" s="79"/>
      <c r="E105" s="43"/>
      <c r="F105" s="43"/>
    </row>
    <row r="106" spans="1:6">
      <c r="A106" s="47"/>
      <c r="B106" s="43"/>
      <c r="C106" s="2"/>
      <c r="D106" s="79"/>
      <c r="E106" s="43"/>
      <c r="F106" s="43"/>
    </row>
    <row r="107" spans="1:6">
      <c r="A107" s="47"/>
      <c r="B107" s="43"/>
      <c r="C107" s="1"/>
      <c r="D107" s="79"/>
      <c r="E107" s="43"/>
      <c r="F107" s="43"/>
    </row>
    <row r="108" spans="1:6">
      <c r="A108" s="47"/>
      <c r="B108" s="43"/>
      <c r="C108" s="1"/>
      <c r="D108" s="79"/>
      <c r="E108" s="55"/>
      <c r="F108" s="43"/>
    </row>
    <row r="109" spans="1:6">
      <c r="A109" s="47"/>
      <c r="B109" s="43"/>
      <c r="C109" s="1"/>
      <c r="D109" s="79"/>
      <c r="E109" s="43"/>
      <c r="F109" s="43"/>
    </row>
    <row r="110" spans="1:6">
      <c r="A110" s="47"/>
      <c r="B110" s="43"/>
      <c r="C110" s="1"/>
      <c r="D110" s="79"/>
      <c r="E110" s="43"/>
      <c r="F110" s="43"/>
    </row>
    <row r="111" spans="1:6">
      <c r="A111" s="47"/>
      <c r="B111" s="43"/>
      <c r="C111" s="43"/>
      <c r="D111" s="43"/>
      <c r="E111" s="43"/>
      <c r="F111" s="43"/>
    </row>
    <row r="112" spans="1:6">
      <c r="A112" s="45"/>
    </row>
    <row r="113" spans="1:9">
      <c r="A113" s="47"/>
      <c r="B113" s="43"/>
      <c r="C113" s="43"/>
      <c r="D113" s="79"/>
      <c r="E113" s="79"/>
      <c r="F113" s="43"/>
    </row>
    <row r="114" spans="1:9">
      <c r="A114" s="47"/>
      <c r="C114" s="43"/>
      <c r="D114" s="79"/>
      <c r="E114" s="79"/>
      <c r="F114" s="79"/>
    </row>
    <row r="115" spans="1:9">
      <c r="A115" s="47"/>
      <c r="B115" s="43"/>
      <c r="C115" s="43"/>
      <c r="D115" s="6"/>
      <c r="E115" s="6"/>
      <c r="F115" s="6"/>
    </row>
    <row r="116" spans="1:9">
      <c r="A116" s="47"/>
      <c r="B116" s="43"/>
      <c r="C116" s="43"/>
      <c r="D116" s="6"/>
      <c r="E116" s="6"/>
      <c r="F116" s="6"/>
    </row>
    <row r="117" spans="1:9">
      <c r="A117" s="47"/>
      <c r="C117" s="43"/>
      <c r="D117" s="6"/>
      <c r="E117" s="6"/>
      <c r="F117" s="6"/>
    </row>
    <row r="118" spans="1:9">
      <c r="A118" s="47"/>
      <c r="B118" s="43"/>
      <c r="C118" s="43"/>
      <c r="D118" s="43"/>
      <c r="E118" s="43"/>
      <c r="F118" s="43"/>
    </row>
    <row r="119" spans="1:9">
      <c r="A119" s="47"/>
      <c r="B119" s="1"/>
      <c r="C119" s="55"/>
      <c r="D119" s="1"/>
      <c r="E119" s="43"/>
      <c r="F119" s="43"/>
    </row>
    <row r="120" spans="1:9">
      <c r="A120" s="47"/>
      <c r="B120" s="1"/>
      <c r="C120" s="55"/>
      <c r="D120" s="1"/>
      <c r="E120" s="43"/>
      <c r="F120" s="43"/>
    </row>
    <row r="121" spans="1:9">
      <c r="A121" s="47"/>
      <c r="B121" s="55"/>
      <c r="C121" s="55"/>
      <c r="D121" s="55"/>
      <c r="E121" s="43"/>
      <c r="F121" s="43"/>
    </row>
    <row r="122" spans="1:9">
      <c r="A122" s="45"/>
      <c r="B122" s="59"/>
      <c r="C122" s="60"/>
      <c r="D122" s="79"/>
      <c r="E122" s="79"/>
      <c r="F122" s="79"/>
      <c r="G122" s="79"/>
      <c r="H122" s="79"/>
      <c r="I122" s="79"/>
    </row>
    <row r="123" spans="1:9">
      <c r="A123" s="45"/>
      <c r="B123" s="61"/>
      <c r="C123" s="60"/>
      <c r="D123" s="79"/>
      <c r="E123" s="79"/>
      <c r="F123" s="79"/>
      <c r="G123" s="79"/>
      <c r="H123" s="79"/>
      <c r="I123" s="79"/>
    </row>
    <row r="124" spans="1:9">
      <c r="A124" s="45"/>
      <c r="B124" s="59"/>
      <c r="C124" s="60"/>
      <c r="D124" s="79"/>
      <c r="E124" s="79"/>
      <c r="F124" s="79"/>
      <c r="G124" s="79"/>
      <c r="H124" s="79"/>
      <c r="I124" s="79"/>
    </row>
    <row r="125" spans="1:9">
      <c r="A125" s="45"/>
      <c r="B125" s="59"/>
      <c r="C125" s="62"/>
      <c r="D125" s="3"/>
      <c r="E125" s="3"/>
      <c r="F125" s="3"/>
      <c r="G125" s="3"/>
      <c r="H125" s="3"/>
      <c r="I125" s="79"/>
    </row>
    <row r="126" spans="1:9">
      <c r="A126" s="45"/>
      <c r="B126" s="59"/>
      <c r="C126" s="62"/>
      <c r="D126" s="62"/>
      <c r="E126" s="3"/>
      <c r="F126" s="3"/>
      <c r="G126" s="3"/>
      <c r="H126" s="3"/>
      <c r="I126" s="79"/>
    </row>
    <row r="127" spans="1:9">
      <c r="A127" s="45"/>
      <c r="B127" s="59"/>
      <c r="C127" s="62"/>
      <c r="D127" s="62"/>
      <c r="E127" s="62"/>
      <c r="F127" s="62"/>
      <c r="G127" s="62"/>
      <c r="H127" s="62"/>
      <c r="I127" s="79"/>
    </row>
    <row r="128" spans="1:9">
      <c r="A128" s="45"/>
      <c r="B128" s="59"/>
      <c r="C128" s="60"/>
      <c r="D128" s="79"/>
      <c r="E128" s="79"/>
      <c r="F128" s="79"/>
      <c r="G128" s="79"/>
      <c r="H128" s="79"/>
      <c r="I128" s="79"/>
    </row>
    <row r="129" spans="1:9">
      <c r="A129" s="45"/>
      <c r="B129" s="59"/>
      <c r="C129" s="60"/>
      <c r="D129" s="79"/>
      <c r="E129" s="79"/>
      <c r="F129" s="79"/>
      <c r="G129" s="79"/>
      <c r="H129" s="79"/>
      <c r="I129" s="79"/>
    </row>
    <row r="130" spans="1:9">
      <c r="A130" s="45"/>
      <c r="B130" s="59"/>
      <c r="C130" s="60"/>
      <c r="D130" s="79"/>
      <c r="E130" s="79"/>
      <c r="F130" s="79"/>
      <c r="G130" s="79"/>
      <c r="H130" s="79"/>
      <c r="I130" s="79"/>
    </row>
    <row r="131" spans="1:9">
      <c r="A131" s="47"/>
      <c r="B131" s="43"/>
      <c r="C131" s="79"/>
      <c r="D131" s="79"/>
      <c r="E131" s="79"/>
      <c r="F131" s="3"/>
      <c r="G131" s="63"/>
      <c r="H131" s="3"/>
      <c r="I131" s="3"/>
    </row>
    <row r="132" spans="1:9" ht="13" customHeight="1">
      <c r="A132" s="45"/>
      <c r="B132" s="4"/>
      <c r="C132" s="6"/>
      <c r="D132" s="6"/>
      <c r="E132" s="6"/>
      <c r="F132" s="3"/>
      <c r="G132" s="3"/>
      <c r="H132" s="3"/>
      <c r="I132" s="3"/>
    </row>
    <row r="133" spans="1:9" ht="13" customHeight="1">
      <c r="A133" s="45"/>
      <c r="B133" s="4"/>
      <c r="C133" s="6"/>
      <c r="D133" s="6"/>
      <c r="E133" s="6"/>
      <c r="F133" s="3"/>
      <c r="G133" s="3"/>
      <c r="H133" s="3"/>
      <c r="I133" s="3"/>
    </row>
    <row r="134" spans="1:9" ht="13" customHeight="1">
      <c r="A134" s="45"/>
      <c r="B134" s="4"/>
      <c r="C134" s="6"/>
      <c r="D134" s="6"/>
      <c r="E134" s="6"/>
      <c r="F134" s="3"/>
      <c r="G134" s="3"/>
      <c r="H134" s="3"/>
      <c r="I134" s="3"/>
    </row>
    <row r="135" spans="1:9" ht="13" customHeight="1">
      <c r="A135" s="45"/>
      <c r="B135" s="4"/>
      <c r="C135" s="6"/>
      <c r="D135" s="6"/>
      <c r="E135" s="6"/>
      <c r="F135" s="3"/>
      <c r="G135" s="3"/>
      <c r="H135" s="3"/>
      <c r="I135" s="3"/>
    </row>
    <row r="136" spans="1:9" ht="13" customHeight="1">
      <c r="A136" s="45"/>
      <c r="B136" s="4"/>
      <c r="C136" s="6"/>
      <c r="D136" s="6"/>
      <c r="E136" s="6"/>
      <c r="F136" s="3"/>
      <c r="G136" s="3"/>
      <c r="H136" s="3"/>
      <c r="I136" s="3"/>
    </row>
    <row r="137" spans="1:9" ht="13" customHeight="1">
      <c r="A137" s="45"/>
      <c r="B137" s="4"/>
      <c r="C137" s="6"/>
      <c r="D137" s="6"/>
      <c r="E137" s="6"/>
      <c r="F137" s="3"/>
      <c r="G137" s="3"/>
      <c r="H137" s="3"/>
      <c r="I137" s="3"/>
    </row>
    <row r="138" spans="1:9">
      <c r="A138" s="45"/>
      <c r="B138" s="4"/>
      <c r="C138" s="6"/>
      <c r="D138" s="6"/>
      <c r="E138" s="6"/>
      <c r="F138" s="3"/>
      <c r="G138" s="3"/>
      <c r="H138" s="3"/>
      <c r="I138" s="3"/>
    </row>
    <row r="139" spans="1:9">
      <c r="A139" s="45"/>
      <c r="B139" s="4"/>
      <c r="C139" s="6"/>
      <c r="D139" s="6"/>
      <c r="E139" s="6"/>
      <c r="F139" s="3"/>
      <c r="G139" s="3"/>
      <c r="H139" s="3"/>
      <c r="I139" s="3"/>
    </row>
    <row r="140" spans="1:9">
      <c r="A140" s="45"/>
      <c r="B140" s="4"/>
      <c r="C140" s="6"/>
      <c r="D140" s="6"/>
      <c r="E140" s="6"/>
      <c r="F140" s="3"/>
      <c r="G140" s="3"/>
      <c r="H140" s="3"/>
      <c r="I140" s="3"/>
    </row>
    <row r="141" spans="1:9">
      <c r="A141" s="45"/>
      <c r="B141" s="4"/>
      <c r="C141" s="6"/>
      <c r="D141" s="6"/>
      <c r="E141" s="6"/>
      <c r="F141" s="3"/>
      <c r="G141" s="3"/>
      <c r="H141" s="3"/>
      <c r="I141" s="3"/>
    </row>
    <row r="142" spans="1:9">
      <c r="A142" s="45"/>
      <c r="B142" s="43"/>
      <c r="C142" s="6"/>
      <c r="D142" s="6"/>
      <c r="E142" s="6"/>
      <c r="F142" s="3"/>
      <c r="G142" s="3"/>
      <c r="H142" s="3"/>
      <c r="I142" s="3"/>
    </row>
    <row r="143" spans="1:9">
      <c r="A143" s="45"/>
      <c r="B143" s="43"/>
      <c r="C143" s="64"/>
      <c r="D143" s="3"/>
      <c r="E143" s="3"/>
      <c r="F143" s="3"/>
      <c r="G143" s="3"/>
      <c r="H143" s="3"/>
      <c r="I143" s="3"/>
    </row>
    <row r="144" spans="1:9">
      <c r="A144" s="47"/>
      <c r="B144" s="43"/>
      <c r="C144" s="1"/>
      <c r="D144" s="43"/>
      <c r="E144" s="43"/>
      <c r="F144" s="43"/>
    </row>
    <row r="145" spans="1:6">
      <c r="A145" s="47"/>
      <c r="B145" s="56"/>
      <c r="C145" s="1"/>
      <c r="D145" s="43"/>
      <c r="E145" s="43"/>
      <c r="F145" s="43"/>
    </row>
    <row r="146" spans="1:6">
      <c r="A146" s="47"/>
      <c r="B146" s="56"/>
      <c r="C146" s="1"/>
      <c r="D146" s="43"/>
      <c r="E146" s="43"/>
      <c r="F146" s="43"/>
    </row>
    <row r="147" spans="1:6">
      <c r="A147" s="47"/>
      <c r="B147" s="56"/>
      <c r="C147" s="1"/>
      <c r="D147" s="43"/>
      <c r="E147" s="43"/>
      <c r="F147" s="43"/>
    </row>
    <row r="148" spans="1:6">
      <c r="A148" s="47"/>
      <c r="B148" s="43"/>
      <c r="C148" s="43"/>
      <c r="D148" s="43"/>
      <c r="E148" s="43"/>
      <c r="F148" s="43"/>
    </row>
    <row r="149" spans="1:6">
      <c r="A149" s="45"/>
      <c r="B149" s="43"/>
      <c r="C149" s="5"/>
    </row>
    <row r="150" spans="1:6">
      <c r="A150" s="45"/>
      <c r="B150" s="43"/>
      <c r="C150" s="1"/>
    </row>
    <row r="151" spans="1:6">
      <c r="B151" s="43"/>
      <c r="C151" s="1"/>
    </row>
    <row r="152" spans="1:6">
      <c r="B152" s="53"/>
      <c r="C152" s="68"/>
    </row>
    <row r="153" spans="1:6">
      <c r="B153" s="56"/>
      <c r="C153" s="1"/>
    </row>
    <row r="154" spans="1:6">
      <c r="B154" s="56"/>
      <c r="C154" s="1"/>
    </row>
    <row r="157" spans="1:6">
      <c r="A157" s="45"/>
    </row>
    <row r="159" spans="1:6" ht="43" customHeight="1"/>
    <row r="162" spans="1:7" ht="14">
      <c r="A162" s="47"/>
      <c r="B162" s="65"/>
      <c r="C162" s="38"/>
      <c r="D162" s="43"/>
      <c r="E162" s="43"/>
      <c r="F162" s="43"/>
      <c r="G162" s="66"/>
    </row>
    <row r="163" spans="1:7" ht="13">
      <c r="A163" s="47"/>
      <c r="B163" s="67"/>
      <c r="C163" s="43"/>
      <c r="D163" s="43"/>
      <c r="E163" s="43"/>
      <c r="F163" s="43"/>
      <c r="G163" s="66"/>
    </row>
    <row r="164" spans="1:7">
      <c r="A164" s="47"/>
      <c r="B164" s="43"/>
      <c r="C164" s="68"/>
      <c r="E164" s="43"/>
      <c r="F164" s="43"/>
    </row>
    <row r="165" spans="1:7">
      <c r="A165" s="47"/>
      <c r="B165" s="43"/>
      <c r="C165" s="5"/>
      <c r="E165" s="43"/>
      <c r="F165" s="43"/>
    </row>
    <row r="166" spans="1:7">
      <c r="A166" s="47"/>
      <c r="B166" s="43"/>
      <c r="C166" s="5"/>
      <c r="E166" s="43"/>
      <c r="F166" s="43"/>
    </row>
    <row r="167" spans="1:7">
      <c r="A167" s="47"/>
      <c r="B167" s="43"/>
      <c r="C167" s="68"/>
      <c r="E167" s="43"/>
      <c r="F167" s="43"/>
    </row>
    <row r="168" spans="1:7">
      <c r="A168" s="47"/>
      <c r="B168" s="43"/>
      <c r="C168" s="1"/>
      <c r="E168" s="43"/>
      <c r="F168" s="43"/>
    </row>
    <row r="169" spans="1:7">
      <c r="A169" s="47"/>
      <c r="B169" s="43"/>
      <c r="C169" s="1"/>
      <c r="E169" s="43"/>
      <c r="F169" s="43"/>
    </row>
    <row r="170" spans="1:7">
      <c r="A170" s="47"/>
      <c r="B170" s="43"/>
      <c r="C170" s="43"/>
      <c r="D170" s="43"/>
      <c r="E170" s="43"/>
      <c r="F170" s="43"/>
    </row>
    <row r="171" spans="1:7">
      <c r="A171" s="47"/>
      <c r="B171" s="43"/>
      <c r="C171" s="79"/>
      <c r="D171" s="79"/>
      <c r="E171" s="79"/>
      <c r="F171" s="79"/>
    </row>
    <row r="172" spans="1:7">
      <c r="B172" s="4"/>
      <c r="C172" s="3"/>
      <c r="D172" s="6"/>
      <c r="E172" s="6"/>
      <c r="F172" s="6"/>
    </row>
    <row r="173" spans="1:7">
      <c r="B173" s="4"/>
      <c r="C173" s="3"/>
      <c r="D173" s="6"/>
      <c r="E173" s="6"/>
      <c r="F173" s="6"/>
    </row>
    <row r="174" spans="1:7">
      <c r="B174" s="4"/>
      <c r="C174" s="3"/>
      <c r="D174" s="6"/>
      <c r="E174" s="6"/>
      <c r="F174" s="6"/>
    </row>
    <row r="175" spans="1:7">
      <c r="B175" s="4"/>
      <c r="C175" s="3"/>
      <c r="D175" s="6"/>
      <c r="E175" s="6"/>
      <c r="F175" s="6"/>
    </row>
    <row r="176" spans="1:7">
      <c r="A176" s="47"/>
      <c r="B176" s="79"/>
      <c r="C176" s="79"/>
      <c r="D176" s="79"/>
      <c r="E176" s="43"/>
      <c r="F176" s="43"/>
    </row>
    <row r="177" spans="1:7">
      <c r="A177" s="47"/>
      <c r="B177" s="43"/>
      <c r="C177" s="1"/>
      <c r="D177" s="79"/>
      <c r="E177" s="43"/>
      <c r="F177" s="43"/>
    </row>
    <row r="178" spans="1:7">
      <c r="A178" s="47"/>
      <c r="B178" s="43"/>
      <c r="C178" s="1"/>
      <c r="D178" s="79"/>
      <c r="E178" s="43"/>
      <c r="F178" s="43"/>
    </row>
    <row r="179" spans="1:7">
      <c r="A179" s="47"/>
      <c r="B179" s="43"/>
      <c r="C179" s="1"/>
      <c r="D179" s="79"/>
      <c r="E179" s="43"/>
      <c r="F179" s="43"/>
    </row>
    <row r="180" spans="1:7">
      <c r="A180" s="47"/>
      <c r="B180" s="43"/>
      <c r="C180" s="1"/>
      <c r="D180" s="79"/>
      <c r="E180" s="43"/>
      <c r="F180" s="43"/>
    </row>
    <row r="181" spans="1:7">
      <c r="A181" s="47"/>
      <c r="B181" s="43"/>
      <c r="C181" s="1"/>
      <c r="D181" s="79"/>
      <c r="E181" s="43"/>
      <c r="F181" s="43"/>
    </row>
    <row r="182" spans="1:7">
      <c r="A182" s="47"/>
      <c r="B182" s="43"/>
      <c r="C182" s="1"/>
      <c r="D182" s="79"/>
      <c r="E182" s="43"/>
      <c r="F182" s="43"/>
    </row>
    <row r="183" spans="1:7">
      <c r="A183" s="47"/>
      <c r="B183" s="43"/>
      <c r="C183" s="1"/>
      <c r="D183" s="79"/>
      <c r="E183" s="43"/>
      <c r="F183" s="43"/>
    </row>
    <row r="184" spans="1:7">
      <c r="A184" s="47"/>
      <c r="B184" s="56"/>
      <c r="C184" s="38"/>
    </row>
    <row r="185" spans="1:7">
      <c r="A185" s="50"/>
      <c r="B185" s="43"/>
      <c r="C185" s="38"/>
      <c r="E185" s="43"/>
      <c r="F185" s="43"/>
    </row>
    <row r="186" spans="1:7">
      <c r="A186" s="47"/>
      <c r="B186" s="43"/>
      <c r="C186" s="38"/>
      <c r="E186" s="43"/>
      <c r="F186" s="43"/>
    </row>
    <row r="187" spans="1:7" ht="14">
      <c r="A187" s="50"/>
      <c r="B187" s="69"/>
      <c r="C187" s="5"/>
      <c r="D187" s="79"/>
    </row>
    <row r="188" spans="1:7" ht="13">
      <c r="A188" s="47"/>
      <c r="B188" s="43"/>
      <c r="C188" s="1"/>
      <c r="D188" s="43"/>
      <c r="E188" s="43"/>
      <c r="F188" s="43"/>
      <c r="G188" s="66"/>
    </row>
    <row r="189" spans="1:7">
      <c r="B189" s="43"/>
    </row>
    <row r="190" spans="1:7" s="71" customFormat="1" ht="13">
      <c r="A190" s="70"/>
      <c r="B190" s="56"/>
      <c r="C190" s="54"/>
    </row>
    <row r="191" spans="1:7">
      <c r="A191" s="47"/>
      <c r="B191" s="43"/>
      <c r="C191" s="1"/>
      <c r="D191" s="79"/>
      <c r="E191" s="43"/>
      <c r="F191" s="43"/>
    </row>
    <row r="192" spans="1:7">
      <c r="B192" s="43"/>
      <c r="C192" s="1"/>
    </row>
    <row r="193" spans="1:3">
      <c r="B193" s="43"/>
      <c r="C193" s="1"/>
    </row>
    <row r="194" spans="1:3">
      <c r="B194" s="79"/>
      <c r="C194" s="79"/>
    </row>
    <row r="196" spans="1:3">
      <c r="A196" s="47"/>
      <c r="B196" s="43"/>
      <c r="C196" s="2"/>
    </row>
    <row r="197" spans="1:3">
      <c r="B197" s="43"/>
      <c r="C197" s="1"/>
    </row>
    <row r="198" spans="1:3">
      <c r="B198" s="43"/>
      <c r="C198" s="1"/>
    </row>
    <row r="199" spans="1:3">
      <c r="B199" s="43"/>
      <c r="C199" s="1"/>
    </row>
    <row r="200" spans="1:3">
      <c r="B200" s="43"/>
      <c r="C200" s="1"/>
    </row>
    <row r="201" spans="1:3">
      <c r="B201" s="43"/>
      <c r="C201" s="1"/>
    </row>
    <row r="202" spans="1:3">
      <c r="B202" s="43"/>
      <c r="C202" s="1"/>
    </row>
  </sheetData>
  <pageMargins left="0.75" right="0.75" top="1" bottom="1" header="0.5" footer="0.5"/>
  <pageSetup orientation="portrait" horizontalDpi="4294967292" verticalDpi="4294967292"/>
  <drawing r:id="rId1"/>
  <legacyDrawing r:id="rId2"/>
  <oleObjects>
    <mc:AlternateContent xmlns:mc="http://schemas.openxmlformats.org/markup-compatibility/2006">
      <mc:Choice Requires="x14">
        <oleObject progId="Equation.3" shapeId="1028" r:id="rId3">
          <objectPr defaultSize="0" r:id="rId4">
            <anchor moveWithCells="1">
              <from>
                <xdr:col>4</xdr:col>
                <xdr:colOff>330200</xdr:colOff>
                <xdr:row>54</xdr:row>
                <xdr:rowOff>50800</xdr:rowOff>
              </from>
              <to>
                <xdr:col>5</xdr:col>
                <xdr:colOff>431800</xdr:colOff>
                <xdr:row>57</xdr:row>
                <xdr:rowOff>139700</xdr:rowOff>
              </to>
            </anchor>
          </objectPr>
        </oleObject>
      </mc:Choice>
      <mc:Fallback>
        <oleObject progId="Equation.3" shapeId="1028" r:id="rId3"/>
      </mc:Fallback>
    </mc:AlternateContent>
    <mc:AlternateContent xmlns:mc="http://schemas.openxmlformats.org/markup-compatibility/2006">
      <mc:Choice Requires="x14">
        <oleObject progId="Equation.3" shapeId="1029" r:id="rId5">
          <objectPr defaultSize="0" r:id="rId6">
            <anchor moveWithCells="1">
              <from>
                <xdr:col>4</xdr:col>
                <xdr:colOff>304800</xdr:colOff>
                <xdr:row>67</xdr:row>
                <xdr:rowOff>88900</xdr:rowOff>
              </from>
              <to>
                <xdr:col>5</xdr:col>
                <xdr:colOff>457200</xdr:colOff>
                <xdr:row>71</xdr:row>
                <xdr:rowOff>38100</xdr:rowOff>
              </to>
            </anchor>
          </objectPr>
        </oleObject>
      </mc:Choice>
      <mc:Fallback>
        <oleObject progId="Equation.3" shapeId="1029" r:id="rId5"/>
      </mc:Fallback>
    </mc:AlternateContent>
  </oleObjec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Exam 1</vt:lpstr>
      <vt:lpstr>Exam 2</vt:lpstr>
      <vt:lpstr>Exam 3</vt:lpstr>
      <vt:lpstr>Exam 4</vt:lpstr>
      <vt:lpstr>Exam 5</vt:lpstr>
      <vt:lpstr>Final Exam</vt:lpstr>
      <vt:lpstr>Sheet1</vt:lpstr>
    </vt:vector>
  </TitlesOfParts>
  <Company>University of Washingtobn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Geoffrey Loftus</dc:creator>
  <cp:lastModifiedBy>Geoffrey Loftus</cp:lastModifiedBy>
  <cp:lastPrinted>2009-01-30T19:24:06Z</cp:lastPrinted>
  <dcterms:created xsi:type="dcterms:W3CDTF">2005-01-11T19:08:43Z</dcterms:created>
  <dcterms:modified xsi:type="dcterms:W3CDTF">2017-05-31T21:20:37Z</dcterms:modified>
</cp:coreProperties>
</file>